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PRZYCHODY" sheetId="1" r:id="rId1"/>
    <sheet name="KOSZTY" sheetId="2" r:id="rId2"/>
    <sheet name="RZiS" sheetId="3" r:id="rId3"/>
    <sheet name="BILANS" sheetId="4" r:id="rId4"/>
    <sheet name="PRZEPŁYWY" sheetId="5" r:id="rId5"/>
    <sheet name="Arkusz1" sheetId="6" state="hidden" r:id="rId6"/>
    <sheet name="WSKAŹNIKI" sheetId="7" r:id="rId7"/>
    <sheet name="spłata kred." sheetId="8" r:id="rId8"/>
    <sheet name="wykresy" sheetId="9" r:id="rId9"/>
  </sheets>
  <externalReferences>
    <externalReference r:id="rId12"/>
    <externalReference r:id="rId13"/>
  </externalReferences>
  <definedNames>
    <definedName name="_xlnm.Print_Area" localSheetId="3">'BILANS'!$A$1:$W$37</definedName>
    <definedName name="_xlnm.Print_Area" localSheetId="1">'KOSZTY'!$A$1:$X$58</definedName>
    <definedName name="_xlnm.Print_Area" localSheetId="4">'PRZEPŁYWY'!$A$1:$W$27</definedName>
    <definedName name="_xlnm.Print_Area" localSheetId="0">'PRZYCHODY'!$A$1:$X$26</definedName>
    <definedName name="_xlnm.Print_Area" localSheetId="2">'RZiS'!$A$1:$W$30</definedName>
    <definedName name="_xlnm.Print_Area" localSheetId="7">'spłata kred.'!$A$1:$Q$121</definedName>
    <definedName name="_xlnm.Print_Area" localSheetId="6">'WSKAŹNIKI'!$A$1:$X$18</definedName>
    <definedName name="_ftn1" localSheetId="6">'WSKAŹNIKI'!$A$22</definedName>
    <definedName name="_ftn2" localSheetId="6">'WSKAŹNIKI'!$A$24</definedName>
    <definedName name="_ftnref1" localSheetId="6">'WSKAŹNIKI'!$D$3</definedName>
    <definedName name="_ftnref2" localSheetId="6">'WSKAŹNIKI'!$A$14</definedName>
    <definedName name="_xlnm.Print_Area" localSheetId="3">'BILANS'!$A$1:$W$37</definedName>
    <definedName name="_xlnm.Print_Area" localSheetId="4">#N/A</definedName>
    <definedName name="_xlnm.Print_Area" localSheetId="6">'WSKAŹNIKI'!$A$1:$X$18</definedName>
  </definedNames>
  <calcPr fullCalcOnLoad="1"/>
</workbook>
</file>

<file path=xl/sharedStrings.xml><?xml version="1.0" encoding="utf-8"?>
<sst xmlns="http://schemas.openxmlformats.org/spreadsheetml/2006/main" count="300" uniqueCount="244">
  <si>
    <t xml:space="preserve">Prognoza przychodów (w tys. PLN) </t>
  </si>
  <si>
    <t>Okres realizacji projektu</t>
  </si>
  <si>
    <t>Okres spłaty kredytu</t>
  </si>
  <si>
    <t>1.</t>
  </si>
  <si>
    <t>1. Przychody z NFZ:</t>
  </si>
  <si>
    <t>1.1</t>
  </si>
  <si>
    <t>OAiIT</t>
  </si>
  <si>
    <t>1.2</t>
  </si>
  <si>
    <t xml:space="preserve">Chirurgia ogólna </t>
  </si>
  <si>
    <t>1.3</t>
  </si>
  <si>
    <t>Ortopedia i traumatologia ruchu</t>
  </si>
  <si>
    <t>1.4</t>
  </si>
  <si>
    <t>Oddział wewnętrzny</t>
  </si>
  <si>
    <t>1.5</t>
  </si>
  <si>
    <t xml:space="preserve">Położnictwo i ginekologia </t>
  </si>
  <si>
    <t>1.6</t>
  </si>
  <si>
    <t>Neonatologia</t>
  </si>
  <si>
    <t>1.7</t>
  </si>
  <si>
    <t>Pediatria</t>
  </si>
  <si>
    <t>1.8</t>
  </si>
  <si>
    <t>Przychodnie - AOS</t>
  </si>
  <si>
    <t>1.9</t>
  </si>
  <si>
    <t>Świadczenia psychiatryczne i psychologiczne</t>
  </si>
  <si>
    <t>1.10</t>
  </si>
  <si>
    <t>Diagnostyka kosztochłonna (endoskopia)</t>
  </si>
  <si>
    <t>1.11</t>
  </si>
  <si>
    <t>Zakład Pielęgnacyjno-Opiekuńczy</t>
  </si>
  <si>
    <t>1.12</t>
  </si>
  <si>
    <t>Ratownictwo Medyczne</t>
  </si>
  <si>
    <t>1.13</t>
  </si>
  <si>
    <t>Nocna i Świąteczna Opieka POZ</t>
  </si>
  <si>
    <t>1.14</t>
  </si>
  <si>
    <t>Transport dla zewnętrznych POZ</t>
  </si>
  <si>
    <t>1.15</t>
  </si>
  <si>
    <t>Rehabilitacja ambulatoryjna</t>
  </si>
  <si>
    <t>1.16</t>
  </si>
  <si>
    <t>Oddział rehabilitacyjny</t>
  </si>
  <si>
    <t>1.17</t>
  </si>
  <si>
    <t>Tomograf</t>
  </si>
  <si>
    <t>1.18</t>
  </si>
  <si>
    <t>SOR</t>
  </si>
  <si>
    <t>1.19</t>
  </si>
  <si>
    <t>Nadwykonania i pozostałe kontrakty</t>
  </si>
  <si>
    <t>2.</t>
  </si>
  <si>
    <t>Pozostałe przychody ( paragony, faktury NZOZ, dzierżawy)</t>
  </si>
  <si>
    <t>Przychody RAZEM</t>
  </si>
  <si>
    <t xml:space="preserve">Prognoza kosztów operacyjnych, w tym amortyzacji (w tys. PLN) </t>
  </si>
  <si>
    <t>I</t>
  </si>
  <si>
    <t>Amortyzacja</t>
  </si>
  <si>
    <t>II</t>
  </si>
  <si>
    <t>Zużycie materiałów i energii, w tym:</t>
  </si>
  <si>
    <t>Zużycie  leków +koncentraty dializacyjne</t>
  </si>
  <si>
    <t>Krew i substytuty</t>
  </si>
  <si>
    <t>3.</t>
  </si>
  <si>
    <t>Odczynniki i testy</t>
  </si>
  <si>
    <t>4.</t>
  </si>
  <si>
    <t>Materiały radiologiczne</t>
  </si>
  <si>
    <t>5.</t>
  </si>
  <si>
    <t>Materiały opatrunkowe i sprzęt jednorazowego użytku</t>
  </si>
  <si>
    <t>6.</t>
  </si>
  <si>
    <t>Implanty, endoprotezy</t>
  </si>
  <si>
    <t>7.</t>
  </si>
  <si>
    <t>Środki czystości i dezynfekcyjne</t>
  </si>
  <si>
    <t>8.</t>
  </si>
  <si>
    <t>Artykuły biurowe, techniczne, druki</t>
  </si>
  <si>
    <t>9.</t>
  </si>
  <si>
    <t>Sprzęt gospodarczy i materiały budowlane</t>
  </si>
  <si>
    <t>10.</t>
  </si>
  <si>
    <t>Paliwo</t>
  </si>
  <si>
    <t>11.</t>
  </si>
  <si>
    <t xml:space="preserve">Energia elektryczna </t>
  </si>
  <si>
    <t>12.</t>
  </si>
  <si>
    <t>Centralne ogrzewanie ( na Ul. Wyspiańskiego)</t>
  </si>
  <si>
    <t>13.</t>
  </si>
  <si>
    <t>Woda i ścieki</t>
  </si>
  <si>
    <t>14.</t>
  </si>
  <si>
    <t>Gaz ziemny</t>
  </si>
  <si>
    <t>15.</t>
  </si>
  <si>
    <t>Sprzęt medyczy, narzędzia zabiegowe i wyposażenie</t>
  </si>
  <si>
    <t>16.</t>
  </si>
  <si>
    <t>Pozostałe materiały</t>
  </si>
  <si>
    <t>III.</t>
  </si>
  <si>
    <t>Usługi obce, w tym:</t>
  </si>
  <si>
    <t>Usługi  transportowe ( wg umowy)</t>
  </si>
  <si>
    <t>Usługi medyczne</t>
  </si>
  <si>
    <t>Usługi remontowo-budowlane</t>
  </si>
  <si>
    <t>Usługi telekomunikacyjne</t>
  </si>
  <si>
    <t xml:space="preserve">Kontrakty lekarskie </t>
  </si>
  <si>
    <t>Kontrakty pielęgniarskie</t>
  </si>
  <si>
    <t>Kontrakty ratownicy medyczni</t>
  </si>
  <si>
    <t>Kontrakty technicy medyczni</t>
  </si>
  <si>
    <t>Usługi techniczne i naprawa aparatury medycznej</t>
  </si>
  <si>
    <t>Spalanie odpadów</t>
  </si>
  <si>
    <t>Usługi laboratoryjne</t>
  </si>
  <si>
    <t>Usługi sterylizatorni (wg umowy)</t>
  </si>
  <si>
    <t>Usługi informatyczne ( wg umowy)-serwis Eskulapa i Simple</t>
  </si>
  <si>
    <t>Wyżywienie (wg umowy)</t>
  </si>
  <si>
    <t>Usługi wywozu śmieci</t>
  </si>
  <si>
    <t>Pozostałe usługi (prawnik, naprawy poza medyczne, sprzątanie, pranie, projekty, konsalt.)</t>
  </si>
  <si>
    <t>IV.</t>
  </si>
  <si>
    <t>Podatki i opłaty, w tym:</t>
  </si>
  <si>
    <t>Podatek od nieruchomości , PFRON</t>
  </si>
  <si>
    <t>V.</t>
  </si>
  <si>
    <t>Wynagrodzenia osobowe:</t>
  </si>
  <si>
    <t>Wynagrodzenia umowy o pracę</t>
  </si>
  <si>
    <t>Wynagrodzenia umowy zlecenia</t>
  </si>
  <si>
    <t>VI.</t>
  </si>
  <si>
    <t>Składki na ubezpieczenia społeczne:</t>
  </si>
  <si>
    <t>Ubezpieczenie emeryt., rentowe, chorobowe</t>
  </si>
  <si>
    <t>Fundusz Pracy i FGŚP</t>
  </si>
  <si>
    <t>Fundusz emerytur pomostowych</t>
  </si>
  <si>
    <t>VII.</t>
  </si>
  <si>
    <t>Pozostałe koszty, w tym:</t>
  </si>
  <si>
    <t>Ubezpieczenie OC szpitala</t>
  </si>
  <si>
    <t>Ubezpieczenie majątku, AC, NW i OC</t>
  </si>
  <si>
    <t>Podróże służbowe, ryczałty samochodowe</t>
  </si>
  <si>
    <t>Świadczenia na rzecz pracowników ( szkolenia, koszty BHP)</t>
  </si>
  <si>
    <t>VIII.</t>
  </si>
  <si>
    <t>Koszty finansowe w tym:</t>
  </si>
  <si>
    <t>Odsetki od kredytu w rachunku bieżącym</t>
  </si>
  <si>
    <t>Odsetki od kredytu inwestycyjnego</t>
  </si>
  <si>
    <t>Odsetki od leasingu</t>
  </si>
  <si>
    <t>Koszty operacyjne RAZEM</t>
  </si>
  <si>
    <t>Rachunek zysków i strat (w tys. PLN)</t>
  </si>
  <si>
    <t>01.04.2013-31.12.2013</t>
  </si>
  <si>
    <t>Rok bazowy 2014</t>
  </si>
  <si>
    <t xml:space="preserve">A. P r z y c h o d y  n e t t o  z e  s p r z e d a ż y </t>
  </si>
  <si>
    <t xml:space="preserve">I. Przychody netto ze sprzedaży produktów i usług </t>
  </si>
  <si>
    <t xml:space="preserve">II. Przychody netto ze sprzedaży towarów i materiałów </t>
  </si>
  <si>
    <t xml:space="preserve">B. K o s z t y  d z i a ł a l n o ś c i  o p e r a c y j n e j </t>
  </si>
  <si>
    <t xml:space="preserve">I. Amortyzacja </t>
  </si>
  <si>
    <t xml:space="preserve">II. Zużycie materiałów i energii </t>
  </si>
  <si>
    <t xml:space="preserve">III. Usługi obce </t>
  </si>
  <si>
    <t xml:space="preserve">IV. Podatki i opłaty: </t>
  </si>
  <si>
    <t xml:space="preserve">V. Wynagrodzenia </t>
  </si>
  <si>
    <t xml:space="preserve">VI. Ubezpieczenia społeczne i inne świadczenia </t>
  </si>
  <si>
    <t xml:space="preserve">VII. Pozostałe koszty rodzajowe </t>
  </si>
  <si>
    <t xml:space="preserve">VIII. Wartość sprzedanych towarów i materiałów </t>
  </si>
  <si>
    <t xml:space="preserve">C. Z y s k  (s t r a t a)  z e  s p r z e d a ż y  (A-B) </t>
  </si>
  <si>
    <t xml:space="preserve">D. P o z o s t a ł e  p r z y c h o d y  o p e r a c y j n e </t>
  </si>
  <si>
    <t xml:space="preserve">I. Dotacje </t>
  </si>
  <si>
    <t xml:space="preserve">II. Pozostałe przychody operacyjne </t>
  </si>
  <si>
    <t xml:space="preserve">E. P o z o s t a ł e  k o s z t y  o p e r a c y j n e </t>
  </si>
  <si>
    <t xml:space="preserve">F. Z y s k  (s t r a t a)  z  d z i a ł a l n o ś c i  o p e r a c y j n e j  (C +D - E) </t>
  </si>
  <si>
    <t xml:space="preserve">G. P r z y c h o d y  f i n a n s o w e </t>
  </si>
  <si>
    <t xml:space="preserve">H. K o s z t y  f i n a n s o w e  </t>
  </si>
  <si>
    <t>I. Zysk (strata) z działalności gospodarczej (F+G-H)</t>
  </si>
  <si>
    <t>J. Wynik zdarzeń nadzwyczajnych</t>
  </si>
  <si>
    <t>K. Z y s k  (s t r a t a)  b r u t t o  (I+/-J)</t>
  </si>
  <si>
    <t xml:space="preserve">L. P o d a t e k  d o c h o d o w y </t>
  </si>
  <si>
    <t>M. P o z o s t a ł e  o b o w i ą z k o w e  z m n i e j s z e n i a  z y s k u  (z w i ę k s z e n i a s t r a t y)</t>
  </si>
  <si>
    <t xml:space="preserve">N. Z y s k  (s t r a t a)  n e t t o  (K-L-M) </t>
  </si>
  <si>
    <t>Bilans (w tys. PLN)</t>
  </si>
  <si>
    <t>Aktywa</t>
  </si>
  <si>
    <r>
      <t>A.</t>
    </r>
    <r>
      <rPr>
        <sz val="8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Aktywa trwałe (I+II+III)</t>
    </r>
  </si>
  <si>
    <t xml:space="preserve">I. Wartości niematerialne i prawne </t>
  </si>
  <si>
    <t>II. Rzeczowe aktywa trwałe (1+2+3+4+5)</t>
  </si>
  <si>
    <t xml:space="preserve">1.  grunty (w tym prawo użytkowania wieczystego gruntu) </t>
  </si>
  <si>
    <t xml:space="preserve">2.  budynki i budowle </t>
  </si>
  <si>
    <t xml:space="preserve">3. urządzenia techniczne i maszyny </t>
  </si>
  <si>
    <t xml:space="preserve">4. środki transportu </t>
  </si>
  <si>
    <t xml:space="preserve">5. pozostałe środki trwałe </t>
  </si>
  <si>
    <t xml:space="preserve">III. Pozostałe aktywa trwałe </t>
  </si>
  <si>
    <r>
      <t>B.</t>
    </r>
    <r>
      <rPr>
        <sz val="8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Aktywa obrotowe (I+II+III+IV)</t>
    </r>
  </si>
  <si>
    <t xml:space="preserve">I. Zapasy </t>
  </si>
  <si>
    <t xml:space="preserve">II. Należności krótkoterminowe </t>
  </si>
  <si>
    <t>III. Inwestycje krótkoterminowe  (w tym środki pieniężne)</t>
  </si>
  <si>
    <t>IV. Krótkoterminowe rozliczenia międzyokresowe</t>
  </si>
  <si>
    <t>Aktywa razem (A+B)</t>
  </si>
  <si>
    <t xml:space="preserve">Pasywa </t>
  </si>
  <si>
    <r>
      <t>C.</t>
    </r>
    <r>
      <rPr>
        <sz val="8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Kapitał (fundusz) własny</t>
    </r>
  </si>
  <si>
    <t>I. Kapitał podstawowy</t>
  </si>
  <si>
    <t>II. Kapitał zapasowy</t>
  </si>
  <si>
    <t>III. Zysk/strata z lat ubiegłych</t>
  </si>
  <si>
    <t xml:space="preserve">IV. Zysk/strata </t>
  </si>
  <si>
    <r>
      <t>D.</t>
    </r>
    <r>
      <rPr>
        <sz val="8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Zobowiązania i rezerwy na zobowiązania (I+II+III+IV)</t>
    </r>
  </si>
  <si>
    <t xml:space="preserve">I. Rezerwy na zobowiązania </t>
  </si>
  <si>
    <t>II. Zobowiązania długoterminowe (1+2)</t>
  </si>
  <si>
    <t>1. Kredyty i pożyczki</t>
  </si>
  <si>
    <t>2. Pozostałe</t>
  </si>
  <si>
    <t>III. Zobowiązania krótkoterminowe (1+2+3)</t>
  </si>
  <si>
    <t>1. Z tytułu dostaw i usług</t>
  </si>
  <si>
    <t>2. Kredyty i pożyczki</t>
  </si>
  <si>
    <t>3. Pozostałe</t>
  </si>
  <si>
    <t>IV. Rozliczenia międzyokresowe</t>
  </si>
  <si>
    <t>Pasywa razem (C+D)</t>
  </si>
  <si>
    <t>Rachunek przepływów środków pieniężnych  (w tys. PLN)</t>
  </si>
  <si>
    <t>A.</t>
  </si>
  <si>
    <t>PRZEPŁYWY ŚRODKÓW PIENIĘŻNYCH Z DZIAŁALNOŚCI OPERACYJNEJ</t>
  </si>
  <si>
    <t>Zysk (strata) netto</t>
  </si>
  <si>
    <t>Zmiana stanu zapasów</t>
  </si>
  <si>
    <t>Zmiana stanu należności</t>
  </si>
  <si>
    <t>Zmiana stanu zobowiązań krótkoterm. (z wyjątkiem pożyczek i kredytów)</t>
  </si>
  <si>
    <t>Inne korekty</t>
  </si>
  <si>
    <t>Razem (1+2+3+4+5+6)</t>
  </si>
  <si>
    <t>B.</t>
  </si>
  <si>
    <t>PRZEPŁYWY ŚRODKÓW PIENIĘŻNYCH Z DZIAŁALNOŚCI INWESTYCYJNEJ</t>
  </si>
  <si>
    <t>Nabycie składników majątku trwałego</t>
  </si>
  <si>
    <t>Sprzedaż składników majątku trwałego</t>
  </si>
  <si>
    <t>Inne</t>
  </si>
  <si>
    <t>Razem (1+2+3)</t>
  </si>
  <si>
    <t>C.</t>
  </si>
  <si>
    <t>PRZEPŁYWY ŚRODKÓW PIENIĘŻNYCH  Z DZIAŁALNOŚCI FINANSOWEJ</t>
  </si>
  <si>
    <t>Zaciągnięcie/spłata kredytów i pożyczek</t>
  </si>
  <si>
    <t>Dotacje</t>
  </si>
  <si>
    <t>Wpłaty na pokrycie straty</t>
  </si>
  <si>
    <t>Wypłaty dla właścieli</t>
  </si>
  <si>
    <t>Pozostałe</t>
  </si>
  <si>
    <t>III</t>
  </si>
  <si>
    <t>D.</t>
  </si>
  <si>
    <t>Przepływy pieniężne netto razem (I+II+III)</t>
  </si>
  <si>
    <t>F.</t>
  </si>
  <si>
    <t>Środki pieniężne na początek okresu</t>
  </si>
  <si>
    <t>G.</t>
  </si>
  <si>
    <t>Środki pieniężne na koniec okresu (F+D)</t>
  </si>
  <si>
    <t>Wskaźniki finansowe</t>
  </si>
  <si>
    <t>A. Wskaźniki płynności</t>
  </si>
  <si>
    <t xml:space="preserve">1. płynność bieżąca    </t>
  </si>
  <si>
    <t xml:space="preserve">2. płynność szybka    </t>
  </si>
  <si>
    <t>B. Wskaźniki sprawności działania</t>
  </si>
  <si>
    <t>1. Rotacja zapasów w dniach</t>
  </si>
  <si>
    <t>2. Rotacja należności w dniach</t>
  </si>
  <si>
    <t>3. Rotacja zobowiązań w dniach</t>
  </si>
  <si>
    <t>C. Wskaźnik struktury kapitałowej</t>
  </si>
  <si>
    <t>1. Poziom zadłużenia</t>
  </si>
  <si>
    <t>D. Wskaźniki rentowności</t>
  </si>
  <si>
    <t xml:space="preserve">1. rentowność sprzedaży </t>
  </si>
  <si>
    <t>2. rentowność kapitału własnego (ROE)</t>
  </si>
  <si>
    <t>E.1 Wskaźnik dźwigni finansowej</t>
  </si>
  <si>
    <t>E.2 Wskaźnik zyskowności aktywów (ROA)</t>
  </si>
  <si>
    <t>miesiąc</t>
  </si>
  <si>
    <t>kapitał</t>
  </si>
  <si>
    <t>odsetki</t>
  </si>
  <si>
    <t>razem</t>
  </si>
  <si>
    <t>rok</t>
  </si>
  <si>
    <t>relacja kosztów do przychodu</t>
  </si>
  <si>
    <t>Przychody</t>
  </si>
  <si>
    <t>Koszty</t>
  </si>
  <si>
    <t>przepływy pieniężne</t>
  </si>
  <si>
    <t>z działalności operacyjnej</t>
  </si>
  <si>
    <t>z działalności inwestycyjnej</t>
  </si>
  <si>
    <t>z działalności finansowej</t>
  </si>
  <si>
    <t>z</t>
  </si>
  <si>
    <t>poziom zadłużenia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</si>
</sst>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#,##0"/>
    <numFmt numFmtId="166" formatCode="GENERAL"/>
    <numFmt numFmtId="167" formatCode="0%"/>
    <numFmt numFmtId="168" formatCode="#,##0.00"/>
    <numFmt numFmtId="169" formatCode="#,##0.0"/>
    <numFmt numFmtId="170" formatCode="0.00"/>
    <numFmt numFmtId="171" formatCode="0.0"/>
    <numFmt numFmtId="172" formatCode="0.0%"/>
    <numFmt numFmtId="173" formatCode="GENERAL"/>
  </numFmts>
  <fonts count="28">
    <font>
      <sz val="10"/>
      <name val="Arial"/>
      <family val="2"/>
    </font>
    <font>
      <sz val="10"/>
      <name val="Mang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7.5"/>
      <color indexed="8"/>
      <name val="Arial"/>
      <family val="2"/>
    </font>
    <font>
      <b/>
      <sz val="11"/>
      <color indexed="8"/>
      <name val="Czcionka tekstu podstawowego"/>
      <family val="2"/>
    </font>
    <font>
      <b/>
      <sz val="9"/>
      <color indexed="8"/>
      <name val="Czcionka tekstu podstawowego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Czcionka tekstu podstawowego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Czcionka tekstu podstawowego"/>
      <family val="2"/>
    </font>
    <font>
      <b/>
      <sz val="8"/>
      <name val="Times New Roman CE"/>
      <family val="1"/>
    </font>
    <font>
      <sz val="7.5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Czcionka tekstu podstawowego"/>
      <family val="2"/>
    </font>
    <font>
      <b/>
      <sz val="11"/>
      <name val="Czcionka tekstu podstawowego"/>
      <family val="2"/>
    </font>
    <font>
      <sz val="9"/>
      <color indexed="8"/>
      <name val="Times New Roman"/>
      <family val="1"/>
    </font>
    <font>
      <u val="single"/>
      <sz val="11"/>
      <color indexed="12"/>
      <name val="Czcionka tekstu podstawowego"/>
      <family val="2"/>
    </font>
    <font>
      <sz val="10"/>
      <color indexed="8"/>
      <name val="Arial"/>
      <family val="2"/>
    </font>
    <font>
      <b/>
      <sz val="10"/>
      <color indexed="8"/>
      <name val="Czcionka tekstu podstawowego"/>
      <family val="0"/>
    </font>
    <font>
      <b/>
      <sz val="18"/>
      <color indexed="8"/>
      <name val="Calibri"/>
      <family val="2"/>
    </font>
    <font>
      <sz val="10"/>
      <color indexed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7" fontId="1" fillId="0" borderId="0" applyFill="0" applyBorder="0" applyAlignment="0" applyProtection="0"/>
    <xf numFmtId="164" fontId="23" fillId="0" borderId="0" applyNumberFormat="0" applyFill="0" applyBorder="0" applyAlignment="0" applyProtection="0"/>
    <xf numFmtId="165" fontId="1" fillId="0" borderId="0" applyFill="0" applyBorder="0" applyAlignment="0" applyProtection="0"/>
    <xf numFmtId="164" fontId="2" fillId="0" borderId="0">
      <alignment/>
      <protection/>
    </xf>
    <xf numFmtId="167" fontId="1" fillId="0" borderId="0" applyFill="0" applyBorder="0" applyAlignment="0" applyProtection="0"/>
  </cellStyleXfs>
  <cellXfs count="129">
    <xf numFmtId="164" fontId="0" fillId="0" borderId="0" xfId="0" applyAlignment="1">
      <alignment/>
    </xf>
    <xf numFmtId="164" fontId="3" fillId="2" borderId="1" xfId="0" applyFont="1" applyFill="1" applyBorder="1" applyAlignment="1">
      <alignment horizontal="left" vertical="center" wrapText="1"/>
    </xf>
    <xf numFmtId="164" fontId="3" fillId="2" borderId="1" xfId="0" applyFont="1" applyFill="1" applyBorder="1" applyAlignment="1">
      <alignment horizontal="center" vertical="center" wrapText="1"/>
    </xf>
    <xf numFmtId="164" fontId="4" fillId="2" borderId="1" xfId="0" applyFont="1" applyFill="1" applyBorder="1" applyAlignment="1">
      <alignment horizontal="center" vertical="center" wrapText="1"/>
    </xf>
    <xf numFmtId="164" fontId="5" fillId="2" borderId="1" xfId="0" applyFont="1" applyFill="1" applyBorder="1" applyAlignment="1">
      <alignment horizontal="center" vertical="center" wrapText="1"/>
    </xf>
    <xf numFmtId="164" fontId="6" fillId="0" borderId="0" xfId="0" applyFont="1" applyAlignment="1">
      <alignment/>
    </xf>
    <xf numFmtId="164" fontId="7" fillId="3" borderId="1" xfId="0" applyFont="1" applyFill="1" applyBorder="1" applyAlignment="1">
      <alignment/>
    </xf>
    <xf numFmtId="164" fontId="8" fillId="3" borderId="1" xfId="0" applyFont="1" applyFill="1" applyBorder="1" applyAlignment="1">
      <alignment vertical="center" wrapText="1"/>
    </xf>
    <xf numFmtId="165" fontId="8" fillId="3" borderId="1" xfId="0" applyNumberFormat="1" applyFont="1" applyFill="1" applyBorder="1" applyAlignment="1">
      <alignment horizontal="right" vertical="center" wrapText="1"/>
    </xf>
    <xf numFmtId="164" fontId="7" fillId="0" borderId="0" xfId="0" applyFont="1" applyFill="1" applyAlignment="1">
      <alignment/>
    </xf>
    <xf numFmtId="164" fontId="7" fillId="4" borderId="0" xfId="0" applyFont="1" applyFill="1" applyAlignment="1">
      <alignment/>
    </xf>
    <xf numFmtId="164" fontId="9" fillId="0" borderId="1" xfId="0" applyFont="1" applyBorder="1" applyAlignment="1">
      <alignment/>
    </xf>
    <xf numFmtId="164" fontId="9" fillId="0" borderId="1" xfId="0" applyFont="1" applyFill="1" applyBorder="1" applyAlignment="1">
      <alignment horizontal="left"/>
    </xf>
    <xf numFmtId="165" fontId="9" fillId="0" borderId="1" xfId="0" applyNumberFormat="1" applyFont="1" applyBorder="1" applyAlignment="1">
      <alignment horizontal="right" vertical="center" wrapText="1"/>
    </xf>
    <xf numFmtId="165" fontId="9" fillId="5" borderId="1" xfId="0" applyNumberFormat="1" applyFont="1" applyFill="1" applyBorder="1" applyAlignment="1">
      <alignment horizontal="right" vertical="center" wrapText="1"/>
    </xf>
    <xf numFmtId="165" fontId="9" fillId="0" borderId="1" xfId="0" applyNumberFormat="1" applyFont="1" applyFill="1" applyBorder="1" applyAlignment="1">
      <alignment horizontal="right" vertical="center" wrapText="1"/>
    </xf>
    <xf numFmtId="164" fontId="8" fillId="3" borderId="1" xfId="0" applyFont="1" applyFill="1" applyBorder="1" applyAlignment="1">
      <alignment/>
    </xf>
    <xf numFmtId="164" fontId="8" fillId="3" borderId="1" xfId="0" applyFont="1" applyFill="1" applyBorder="1" applyAlignment="1">
      <alignment horizontal="left" wrapText="1"/>
    </xf>
    <xf numFmtId="165" fontId="10" fillId="3" borderId="1" xfId="0" applyNumberFormat="1" applyFont="1" applyFill="1" applyBorder="1" applyAlignment="1">
      <alignment horizontal="right" vertical="center"/>
    </xf>
    <xf numFmtId="164" fontId="8" fillId="0" borderId="0" xfId="0" applyFont="1" applyFill="1" applyAlignment="1">
      <alignment/>
    </xf>
    <xf numFmtId="164" fontId="8" fillId="4" borderId="0" xfId="0" applyFont="1" applyFill="1" applyAlignment="1">
      <alignment/>
    </xf>
    <xf numFmtId="164" fontId="7" fillId="0" borderId="1" xfId="0" applyFont="1" applyBorder="1" applyAlignment="1">
      <alignment/>
    </xf>
    <xf numFmtId="164" fontId="8" fillId="6" borderId="1" xfId="0" applyFont="1" applyFill="1" applyBorder="1" applyAlignment="1">
      <alignment vertical="center" wrapText="1"/>
    </xf>
    <xf numFmtId="165" fontId="8" fillId="6" borderId="1" xfId="0" applyNumberFormat="1" applyFont="1" applyFill="1" applyBorder="1" applyAlignment="1">
      <alignment horizontal="right" vertical="center" wrapText="1"/>
    </xf>
    <xf numFmtId="164" fontId="7" fillId="0" borderId="0" xfId="0" applyFont="1" applyAlignment="1">
      <alignment/>
    </xf>
    <xf numFmtId="165" fontId="8" fillId="3" borderId="1" xfId="0" applyNumberFormat="1" applyFont="1" applyFill="1" applyBorder="1" applyAlignment="1">
      <alignment horizontal="right" wrapText="1"/>
    </xf>
    <xf numFmtId="165" fontId="10" fillId="3" borderId="1" xfId="0" applyNumberFormat="1" applyFont="1" applyFill="1" applyBorder="1" applyAlignment="1">
      <alignment/>
    </xf>
    <xf numFmtId="164" fontId="9" fillId="5" borderId="1" xfId="0" applyFont="1" applyFill="1" applyBorder="1" applyAlignment="1">
      <alignment/>
    </xf>
    <xf numFmtId="164" fontId="9" fillId="5" borderId="1" xfId="0" applyFont="1" applyFill="1" applyBorder="1" applyAlignment="1">
      <alignment wrapText="1"/>
    </xf>
    <xf numFmtId="165" fontId="9" fillId="5" borderId="1" xfId="0" applyNumberFormat="1" applyFont="1" applyFill="1" applyBorder="1" applyAlignment="1">
      <alignment horizontal="right"/>
    </xf>
    <xf numFmtId="164" fontId="0" fillId="5" borderId="0" xfId="0" applyFill="1" applyAlignment="1">
      <alignment/>
    </xf>
    <xf numFmtId="164" fontId="9" fillId="5" borderId="1" xfId="0" applyFont="1" applyFill="1" applyBorder="1" applyAlignment="1">
      <alignment horizontal="right"/>
    </xf>
    <xf numFmtId="164" fontId="8" fillId="5" borderId="1" xfId="0" applyFont="1" applyFill="1" applyBorder="1" applyAlignment="1">
      <alignment horizontal="right"/>
    </xf>
    <xf numFmtId="164" fontId="11" fillId="5" borderId="1" xfId="0" applyFont="1" applyFill="1" applyBorder="1" applyAlignment="1">
      <alignment/>
    </xf>
    <xf numFmtId="164" fontId="10" fillId="3" borderId="1" xfId="0" applyFont="1" applyFill="1" applyBorder="1" applyAlignment="1">
      <alignment/>
    </xf>
    <xf numFmtId="164" fontId="8" fillId="5" borderId="0" xfId="0" applyFont="1" applyFill="1" applyAlignment="1">
      <alignment/>
    </xf>
    <xf numFmtId="164" fontId="7" fillId="5" borderId="0" xfId="0" applyFont="1" applyFill="1" applyAlignment="1">
      <alignment/>
    </xf>
    <xf numFmtId="168" fontId="11" fillId="5" borderId="1" xfId="0" applyNumberFormat="1" applyFont="1" applyFill="1" applyBorder="1" applyAlignment="1">
      <alignment wrapText="1"/>
    </xf>
    <xf numFmtId="164" fontId="11" fillId="5" borderId="1" xfId="0" applyFont="1" applyFill="1" applyBorder="1" applyAlignment="1">
      <alignment wrapText="1"/>
    </xf>
    <xf numFmtId="164" fontId="11" fillId="5" borderId="1" xfId="0" applyFont="1" applyFill="1" applyBorder="1" applyAlignment="1">
      <alignment horizontal="left"/>
    </xf>
    <xf numFmtId="165" fontId="11" fillId="5" borderId="1" xfId="0" applyNumberFormat="1" applyFont="1" applyFill="1" applyBorder="1" applyAlignment="1">
      <alignment/>
    </xf>
    <xf numFmtId="165" fontId="11" fillId="5" borderId="1" xfId="0" applyNumberFormat="1" applyFont="1" applyFill="1" applyBorder="1" applyAlignment="1">
      <alignment horizontal="right" vertical="center" wrapText="1"/>
    </xf>
    <xf numFmtId="165" fontId="11" fillId="5" borderId="1" xfId="0" applyNumberFormat="1" applyFont="1" applyFill="1" applyBorder="1" applyAlignment="1">
      <alignment horizontal="right"/>
    </xf>
    <xf numFmtId="164" fontId="12" fillId="5" borderId="0" xfId="0" applyFont="1" applyFill="1" applyAlignment="1">
      <alignment/>
    </xf>
    <xf numFmtId="164" fontId="8" fillId="6" borderId="1" xfId="0" applyFont="1" applyFill="1" applyBorder="1" applyAlignment="1">
      <alignment horizontal="left" vertical="center" wrapText="1"/>
    </xf>
    <xf numFmtId="165" fontId="0" fillId="0" borderId="0" xfId="0" applyNumberFormat="1" applyAlignment="1">
      <alignment/>
    </xf>
    <xf numFmtId="164" fontId="3" fillId="2" borderId="1" xfId="0" applyFont="1" applyFill="1" applyBorder="1" applyAlignment="1">
      <alignment horizontal="left" wrapText="1"/>
    </xf>
    <xf numFmtId="164" fontId="8" fillId="2" borderId="1" xfId="0" applyFont="1" applyFill="1" applyBorder="1" applyAlignment="1">
      <alignment horizontal="center" vertical="center" wrapText="1"/>
    </xf>
    <xf numFmtId="164" fontId="13" fillId="0" borderId="1" xfId="0" applyFont="1" applyFill="1" applyBorder="1" applyAlignment="1">
      <alignment horizontal="left" vertical="center" wrapText="1"/>
    </xf>
    <xf numFmtId="169" fontId="9" fillId="7" borderId="1" xfId="0" applyNumberFormat="1" applyFont="1" applyFill="1" applyBorder="1" applyAlignment="1">
      <alignment horizontal="right" vertical="center" wrapText="1"/>
    </xf>
    <xf numFmtId="168" fontId="9" fillId="7" borderId="1" xfId="0" applyNumberFormat="1" applyFont="1" applyFill="1" applyBorder="1" applyAlignment="1">
      <alignment horizontal="right" vertical="center" wrapText="1"/>
    </xf>
    <xf numFmtId="168" fontId="9" fillId="0" borderId="1" xfId="0" applyNumberFormat="1" applyFont="1" applyFill="1" applyBorder="1" applyAlignment="1">
      <alignment horizontal="right" vertical="center" wrapText="1"/>
    </xf>
    <xf numFmtId="169" fontId="8" fillId="7" borderId="1" xfId="0" applyNumberFormat="1" applyFont="1" applyFill="1" applyBorder="1" applyAlignment="1">
      <alignment horizontal="right" vertical="center" wrapText="1"/>
    </xf>
    <xf numFmtId="168" fontId="8" fillId="0" borderId="1" xfId="0" applyNumberFormat="1" applyFont="1" applyFill="1" applyBorder="1" applyAlignment="1">
      <alignment horizontal="right" vertical="center" wrapText="1"/>
    </xf>
    <xf numFmtId="165" fontId="14" fillId="7" borderId="1" xfId="0" applyNumberFormat="1" applyFont="1" applyFill="1" applyBorder="1" applyAlignment="1">
      <alignment horizontal="left" vertical="center" wrapText="1"/>
    </xf>
    <xf numFmtId="165" fontId="9" fillId="7" borderId="1" xfId="0" applyNumberFormat="1" applyFont="1" applyFill="1" applyBorder="1" applyAlignment="1">
      <alignment horizontal="right" vertical="center" wrapText="1"/>
    </xf>
    <xf numFmtId="164" fontId="0" fillId="7" borderId="0" xfId="0" applyFill="1" applyAlignment="1">
      <alignment/>
    </xf>
    <xf numFmtId="165" fontId="13" fillId="5" borderId="1" xfId="0" applyNumberFormat="1" applyFont="1" applyFill="1" applyBorder="1" applyAlignment="1">
      <alignment horizontal="left" vertical="center" wrapText="1"/>
    </xf>
    <xf numFmtId="165" fontId="8" fillId="7" borderId="1" xfId="0" applyNumberFormat="1" applyFont="1" applyFill="1" applyBorder="1" applyAlignment="1">
      <alignment horizontal="right" vertical="center" wrapText="1"/>
    </xf>
    <xf numFmtId="164" fontId="14" fillId="7" borderId="1" xfId="0" applyFont="1" applyFill="1" applyBorder="1" applyAlignment="1">
      <alignment horizontal="left" vertical="center" wrapText="1"/>
    </xf>
    <xf numFmtId="164" fontId="14" fillId="0" borderId="1" xfId="0" applyFont="1" applyFill="1" applyBorder="1" applyAlignment="1">
      <alignment horizontal="left" vertical="center" wrapText="1"/>
    </xf>
    <xf numFmtId="164" fontId="13" fillId="5" borderId="1" xfId="0" applyFont="1" applyFill="1" applyBorder="1" applyAlignment="1">
      <alignment horizontal="left" vertical="center" wrapText="1"/>
    </xf>
    <xf numFmtId="164" fontId="6" fillId="7" borderId="0" xfId="0" applyFont="1" applyFill="1" applyAlignment="1">
      <alignment/>
    </xf>
    <xf numFmtId="164" fontId="15" fillId="0" borderId="0" xfId="0" applyFont="1" applyAlignment="1">
      <alignment/>
    </xf>
    <xf numFmtId="168" fontId="15" fillId="0" borderId="0" xfId="0" applyNumberFormat="1" applyFont="1" applyAlignment="1">
      <alignment/>
    </xf>
    <xf numFmtId="164" fontId="0" fillId="0" borderId="0" xfId="0" applyAlignment="1">
      <alignment vertical="center"/>
    </xf>
    <xf numFmtId="164" fontId="16" fillId="2" borderId="1" xfId="0" applyFont="1" applyFill="1" applyBorder="1" applyAlignment="1" applyProtection="1">
      <alignment horizontal="center" vertical="center" wrapText="1"/>
      <protection/>
    </xf>
    <xf numFmtId="164" fontId="16" fillId="3" borderId="1" xfId="0" applyFont="1" applyFill="1" applyBorder="1" applyAlignment="1" applyProtection="1">
      <alignment horizontal="center" vertical="center" wrapText="1"/>
      <protection/>
    </xf>
    <xf numFmtId="164" fontId="16" fillId="3" borderId="1" xfId="0" applyFont="1" applyFill="1" applyBorder="1" applyAlignment="1" applyProtection="1">
      <alignment horizontal="left" vertical="center"/>
      <protection/>
    </xf>
    <xf numFmtId="164" fontId="17" fillId="3" borderId="1" xfId="0" applyFont="1" applyFill="1" applyBorder="1" applyAlignment="1">
      <alignment horizontal="center" vertical="center" wrapText="1"/>
    </xf>
    <xf numFmtId="164" fontId="13" fillId="0" borderId="1" xfId="0" applyFont="1" applyBorder="1" applyAlignment="1">
      <alignment horizontal="center" vertical="center"/>
    </xf>
    <xf numFmtId="164" fontId="18" fillId="0" borderId="1" xfId="0" applyFont="1" applyBorder="1" applyAlignment="1">
      <alignment wrapText="1"/>
    </xf>
    <xf numFmtId="168" fontId="15" fillId="0" borderId="1" xfId="0" applyNumberFormat="1" applyFont="1" applyBorder="1" applyAlignment="1">
      <alignment vertical="center"/>
    </xf>
    <xf numFmtId="164" fontId="18" fillId="0" borderId="1" xfId="0" applyFont="1" applyBorder="1" applyAlignment="1">
      <alignment horizontal="center" vertical="center"/>
    </xf>
    <xf numFmtId="164" fontId="18" fillId="0" borderId="1" xfId="0" applyFont="1" applyBorder="1" applyAlignment="1" applyProtection="1">
      <alignment horizontal="center" vertical="center"/>
      <protection/>
    </xf>
    <xf numFmtId="164" fontId="18" fillId="0" borderId="1" xfId="0" applyFont="1" applyFill="1" applyBorder="1" applyAlignment="1" applyProtection="1">
      <alignment horizontal="center" vertical="center"/>
      <protection/>
    </xf>
    <xf numFmtId="164" fontId="19" fillId="5" borderId="1" xfId="0" applyFont="1" applyFill="1" applyBorder="1" applyAlignment="1" applyProtection="1">
      <alignment horizontal="center" vertical="center"/>
      <protection/>
    </xf>
    <xf numFmtId="164" fontId="19" fillId="5" borderId="1" xfId="0" applyFont="1" applyFill="1" applyBorder="1" applyAlignment="1">
      <alignment wrapText="1"/>
    </xf>
    <xf numFmtId="168" fontId="7" fillId="5" borderId="1" xfId="0" applyNumberFormat="1" applyFont="1" applyFill="1" applyBorder="1" applyAlignment="1">
      <alignment vertical="center"/>
    </xf>
    <xf numFmtId="164" fontId="6" fillId="5" borderId="0" xfId="0" applyFont="1" applyFill="1" applyAlignment="1">
      <alignment vertical="center"/>
    </xf>
    <xf numFmtId="164" fontId="15" fillId="3" borderId="1" xfId="0" applyFont="1" applyFill="1" applyBorder="1" applyAlignment="1">
      <alignment vertical="center"/>
    </xf>
    <xf numFmtId="164" fontId="18" fillId="0" borderId="1" xfId="0" applyFont="1" applyFill="1" applyBorder="1" applyAlignment="1" applyProtection="1">
      <alignment horizontal="center" vertical="center" wrapText="1"/>
      <protection/>
    </xf>
    <xf numFmtId="164" fontId="18" fillId="0" borderId="1" xfId="0" applyFont="1" applyBorder="1" applyAlignment="1">
      <alignment horizontal="left" wrapText="1"/>
    </xf>
    <xf numFmtId="164" fontId="18" fillId="5" borderId="1" xfId="0" applyFont="1" applyFill="1" applyBorder="1" applyAlignment="1" applyProtection="1">
      <alignment horizontal="center" vertical="center" wrapText="1"/>
      <protection/>
    </xf>
    <xf numFmtId="164" fontId="18" fillId="5" borderId="1" xfId="0" applyFont="1" applyFill="1" applyBorder="1" applyAlignment="1">
      <alignment horizontal="left" wrapText="1"/>
    </xf>
    <xf numFmtId="168" fontId="15" fillId="5" borderId="1" xfId="0" applyNumberFormat="1" applyFont="1" applyFill="1" applyBorder="1" applyAlignment="1">
      <alignment vertical="center"/>
    </xf>
    <xf numFmtId="164" fontId="0" fillId="5" borderId="0" xfId="0" applyFill="1" applyAlignment="1">
      <alignment vertical="center"/>
    </xf>
    <xf numFmtId="164" fontId="18" fillId="5" borderId="1" xfId="0" applyFont="1" applyFill="1" applyBorder="1" applyAlignment="1" applyProtection="1">
      <alignment horizontal="center" vertical="center"/>
      <protection/>
    </xf>
    <xf numFmtId="164" fontId="14" fillId="5" borderId="1" xfId="0" applyFont="1" applyFill="1" applyBorder="1" applyAlignment="1">
      <alignment horizontal="center" vertical="center"/>
    </xf>
    <xf numFmtId="164" fontId="14" fillId="5" borderId="1" xfId="0" applyFont="1" applyFill="1" applyBorder="1" applyAlignment="1">
      <alignment vertical="center"/>
    </xf>
    <xf numFmtId="164" fontId="16" fillId="3" borderId="1" xfId="0" applyFont="1" applyFill="1" applyBorder="1" applyAlignment="1" applyProtection="1">
      <alignment horizontal="center" vertical="center"/>
      <protection/>
    </xf>
    <xf numFmtId="164" fontId="16" fillId="3" borderId="1" xfId="0" applyFont="1" applyFill="1" applyBorder="1" applyAlignment="1" applyProtection="1">
      <alignment vertical="center"/>
      <protection/>
    </xf>
    <xf numFmtId="168" fontId="15" fillId="0" borderId="1" xfId="0" applyNumberFormat="1" applyFont="1" applyFill="1" applyBorder="1" applyAlignment="1">
      <alignment vertical="center"/>
    </xf>
    <xf numFmtId="164" fontId="19" fillId="5" borderId="1" xfId="0" applyFont="1" applyFill="1" applyBorder="1" applyAlignment="1">
      <alignment horizontal="left" wrapText="1"/>
    </xf>
    <xf numFmtId="164" fontId="19" fillId="3" borderId="1" xfId="0" applyFont="1" applyFill="1" applyBorder="1" applyAlignment="1" applyProtection="1">
      <alignment horizontal="center" vertical="center"/>
      <protection/>
    </xf>
    <xf numFmtId="164" fontId="19" fillId="3" borderId="1" xfId="0" applyFont="1" applyFill="1" applyBorder="1" applyAlignment="1">
      <alignment horizontal="left" wrapText="1"/>
    </xf>
    <xf numFmtId="168" fontId="15" fillId="3" borderId="1" xfId="0" applyNumberFormat="1" applyFont="1" applyFill="1" applyBorder="1" applyAlignment="1">
      <alignment vertical="center"/>
    </xf>
    <xf numFmtId="168" fontId="20" fillId="3" borderId="1" xfId="0" applyNumberFormat="1" applyFont="1" applyFill="1" applyBorder="1" applyAlignment="1">
      <alignment vertical="center"/>
    </xf>
    <xf numFmtId="164" fontId="21" fillId="0" borderId="0" xfId="0" applyFont="1" applyAlignment="1">
      <alignment vertical="center"/>
    </xf>
    <xf numFmtId="164" fontId="15" fillId="0" borderId="0" xfId="0" applyFont="1" applyAlignment="1">
      <alignment vertical="center"/>
    </xf>
    <xf numFmtId="164" fontId="8" fillId="2" borderId="1" xfId="0" applyFont="1" applyFill="1" applyBorder="1" applyAlignment="1">
      <alignment horizontal="left" vertical="center" wrapText="1"/>
    </xf>
    <xf numFmtId="164" fontId="8" fillId="3" borderId="1" xfId="0" applyFont="1" applyFill="1" applyBorder="1" applyAlignment="1">
      <alignment horizontal="left" vertical="center" wrapText="1"/>
    </xf>
    <xf numFmtId="164" fontId="9" fillId="0" borderId="1" xfId="0" applyFont="1" applyBorder="1" applyAlignment="1">
      <alignment horizontal="left" vertical="center" wrapText="1"/>
    </xf>
    <xf numFmtId="170" fontId="9" fillId="0" borderId="1" xfId="0" applyNumberFormat="1" applyFont="1" applyBorder="1" applyAlignment="1">
      <alignment horizontal="center" vertical="center" wrapText="1"/>
    </xf>
    <xf numFmtId="170" fontId="8" fillId="3" borderId="1" xfId="0" applyNumberFormat="1" applyFont="1" applyFill="1" applyBorder="1" applyAlignment="1">
      <alignment horizontal="left" vertical="center" wrapText="1"/>
    </xf>
    <xf numFmtId="170" fontId="8" fillId="3" borderId="1" xfId="0" applyNumberFormat="1" applyFont="1" applyFill="1" applyBorder="1" applyAlignment="1">
      <alignment vertical="center" wrapText="1"/>
    </xf>
    <xf numFmtId="171" fontId="9" fillId="0" borderId="1" xfId="0" applyNumberFormat="1" applyFont="1" applyBorder="1" applyAlignment="1">
      <alignment horizontal="center" vertical="center" wrapText="1"/>
    </xf>
    <xf numFmtId="167" fontId="9" fillId="0" borderId="1" xfId="19" applyFont="1" applyFill="1" applyBorder="1" applyAlignment="1" applyProtection="1">
      <alignment horizontal="center" vertical="center" wrapText="1"/>
      <protection/>
    </xf>
    <xf numFmtId="164" fontId="22" fillId="0" borderId="1" xfId="0" applyFont="1" applyBorder="1" applyAlignment="1">
      <alignment horizontal="left" vertical="center" wrapText="1"/>
    </xf>
    <xf numFmtId="172" fontId="9" fillId="0" borderId="1" xfId="19" applyNumberFormat="1" applyFont="1" applyFill="1" applyBorder="1" applyAlignment="1" applyProtection="1">
      <alignment horizontal="center" vertical="center" wrapText="1"/>
      <protection/>
    </xf>
    <xf numFmtId="164" fontId="8" fillId="0" borderId="1" xfId="0" applyFont="1" applyBorder="1" applyAlignment="1">
      <alignment horizontal="left" vertical="center" wrapText="1"/>
    </xf>
    <xf numFmtId="164" fontId="8" fillId="0" borderId="0" xfId="0" applyFont="1" applyAlignment="1">
      <alignment/>
    </xf>
    <xf numFmtId="164" fontId="23" fillId="0" borderId="0" xfId="20" applyFill="1" applyBorder="1" applyAlignment="1" applyProtection="1">
      <alignment horizontal="left" indent="14"/>
      <protection/>
    </xf>
    <xf numFmtId="164" fontId="24" fillId="0" borderId="0" xfId="0" applyFont="1" applyAlignment="1">
      <alignment horizontal="left" indent="14"/>
    </xf>
    <xf numFmtId="164" fontId="23" fillId="0" borderId="0" xfId="20" applyFill="1" applyBorder="1" applyAlignment="1" applyProtection="1">
      <alignment/>
      <protection/>
    </xf>
    <xf numFmtId="164" fontId="6" fillId="0" borderId="0" xfId="0" applyFont="1" applyAlignment="1">
      <alignment horizontal="center"/>
    </xf>
    <xf numFmtId="164" fontId="6" fillId="7" borderId="1" xfId="0" applyFont="1" applyFill="1" applyBorder="1" applyAlignment="1">
      <alignment horizontal="center"/>
    </xf>
    <xf numFmtId="164" fontId="0" fillId="7" borderId="1" xfId="0" applyFont="1" applyFill="1" applyBorder="1" applyAlignment="1">
      <alignment horizontal="center"/>
    </xf>
    <xf numFmtId="164" fontId="0" fillId="0" borderId="1" xfId="0" applyBorder="1" applyAlignment="1">
      <alignment/>
    </xf>
    <xf numFmtId="164" fontId="6" fillId="7" borderId="1" xfId="0" applyFont="1" applyFill="1" applyBorder="1" applyAlignment="1">
      <alignment horizontal="center" wrapText="1"/>
    </xf>
    <xf numFmtId="170" fontId="0" fillId="0" borderId="1" xfId="0" applyNumberFormat="1" applyBorder="1" applyAlignment="1">
      <alignment horizontal="right" wrapText="1"/>
    </xf>
    <xf numFmtId="164" fontId="6" fillId="7" borderId="1" xfId="0" applyFont="1" applyFill="1" applyBorder="1" applyAlignment="1">
      <alignment horizontal="center" vertical="center" wrapText="1"/>
    </xf>
    <xf numFmtId="164" fontId="0" fillId="0" borderId="1" xfId="0" applyBorder="1" applyAlignment="1">
      <alignment horizontal="center" vertical="center"/>
    </xf>
    <xf numFmtId="164" fontId="0" fillId="0" borderId="0" xfId="0" applyBorder="1" applyAlignment="1">
      <alignment horizontal="center" vertical="center"/>
    </xf>
    <xf numFmtId="164" fontId="6" fillId="0" borderId="0" xfId="0" applyFont="1" applyAlignment="1">
      <alignment/>
    </xf>
    <xf numFmtId="164" fontId="25" fillId="0" borderId="0" xfId="0" applyFont="1" applyAlignment="1">
      <alignment horizontal="center"/>
    </xf>
    <xf numFmtId="164" fontId="0" fillId="0" borderId="0" xfId="0" applyAlignment="1">
      <alignment/>
    </xf>
    <xf numFmtId="171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Comma0" xfId="21"/>
    <cellStyle name="Normalny 2" xfId="22"/>
    <cellStyle name="Procentowy 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78787"/>
      <rgbColor rgb="009999FF"/>
      <rgbColor rgb="00BE4B48"/>
      <rgbColor rgb="00FDEADA"/>
      <rgbColor rgb="00F2F2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4A7EBB"/>
      <rgbColor rgb="0033CCCC"/>
      <rgbColor rgb="0098B855"/>
      <rgbColor rgb="00FFCC00"/>
      <rgbColor rgb="00FFC000"/>
      <rgbColor rgb="00FF6600"/>
      <rgbColor rgb="007D5FA0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Relacja przychodów do kosztów</a:t>
            </a:r>
          </a:p>
        </c:rich>
      </c:tx>
      <c:layout>
        <c:manualLayout>
          <c:xMode val="factor"/>
          <c:yMode val="factor"/>
          <c:x val="0.089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75"/>
          <c:w val="0.9075"/>
          <c:h val="0.79625"/>
        </c:manualLayout>
      </c:layout>
      <c:lineChart>
        <c:grouping val="standard"/>
        <c:varyColors val="0"/>
        <c:ser>
          <c:idx val="0"/>
          <c:order val="0"/>
          <c:tx>
            <c:strRef>
              <c:f>wykresy!$B$5</c:f>
            </c:strRef>
          </c:tx>
          <c:spPr>
            <a:ln w="38100">
              <a:solidFill>
                <a:srgbClr val="BE4B48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wykresy!$C$4:$X$4</c:f>
              <c:numCache/>
            </c:numRef>
          </c:cat>
          <c:val>
            <c:numRef>
              <c:f>wykresy!$C$5:$X$5</c:f>
              <c:numCache/>
            </c:numRef>
          </c:val>
          <c:smooth val="0"/>
        </c:ser>
        <c:ser>
          <c:idx val="1"/>
          <c:order val="1"/>
          <c:tx>
            <c:strRef>
              <c:f>wykresy!$B$6</c:f>
            </c:strRef>
          </c:tx>
          <c:spPr>
            <a:ln w="38100">
              <a:solidFill>
                <a:srgbClr val="98B85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wykresy!$C$4:$X$4</c:f>
              <c:numCache/>
            </c:numRef>
          </c:cat>
          <c:val>
            <c:numRef>
              <c:f>wykresy!$C$6:$X$6</c:f>
              <c:numCache/>
            </c:numRef>
          </c:val>
          <c:smooth val="0"/>
        </c:ser>
        <c:ser>
          <c:idx val="2"/>
          <c:order val="2"/>
          <c:spPr>
            <a:ln w="38100">
              <a:solidFill>
                <a:srgbClr val="4A7EB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wykresy!$C$4:$X$4</c:f>
              <c:numCache/>
            </c:numRef>
          </c:cat>
          <c:val>
            <c:numRef>
              <c:f>wykresy!$C$72:$W$72</c:f>
              <c:numCache/>
            </c:numRef>
          </c:val>
          <c:smooth val="0"/>
        </c:ser>
        <c:marker val="1"/>
        <c:axId val="36941151"/>
        <c:axId val="64034904"/>
      </c:lineChart>
      <c:dateAx>
        <c:axId val="36941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034904"/>
        <c:crossesAt val="0"/>
        <c:auto val="0"/>
        <c:noMultiLvlLbl val="0"/>
      </c:dateAx>
      <c:valAx>
        <c:axId val="64034904"/>
        <c:scaling>
          <c:orientation val="minMax"/>
        </c:scaling>
        <c:axPos val="l"/>
        <c:majorGridlines>
          <c:spPr>
            <a:ln w="12700">
              <a:solidFill>
                <a:srgbClr val="878787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941151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8975"/>
          <c:y val="0.32325"/>
          <c:w val="0.09025"/>
          <c:h val="0.27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Przepływy pieniężne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6225"/>
          <c:w val="0.89075"/>
          <c:h val="0.781"/>
        </c:manualLayout>
      </c:layout>
      <c:lineChart>
        <c:grouping val="standard"/>
        <c:varyColors val="0"/>
        <c:ser>
          <c:idx val="0"/>
          <c:order val="0"/>
          <c:tx>
            <c:strRef>
              <c:f>wykresy!$B$36</c:f>
            </c:strRef>
          </c:tx>
          <c:spPr>
            <a:ln w="38100">
              <a:solidFill>
                <a:srgbClr val="BE4B48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wykresy!$C$35:$W$35</c:f>
              <c:numCache/>
            </c:numRef>
          </c:cat>
          <c:val>
            <c:numRef>
              <c:f>wykresy!$C$36:$W$36</c:f>
              <c:numCache/>
            </c:numRef>
          </c:val>
          <c:smooth val="0"/>
        </c:ser>
        <c:ser>
          <c:idx val="1"/>
          <c:order val="1"/>
          <c:tx>
            <c:strRef>
              <c:f>wykresy!$B$37</c:f>
            </c:strRef>
          </c:tx>
          <c:spPr>
            <a:ln w="38100">
              <a:solidFill>
                <a:srgbClr val="98B85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wykresy!$C$35:$W$35</c:f>
              <c:numCache/>
            </c:numRef>
          </c:cat>
          <c:val>
            <c:numRef>
              <c:f>wykresy!$C$37:$W$37</c:f>
              <c:numCache/>
            </c:numRef>
          </c:val>
          <c:smooth val="0"/>
        </c:ser>
        <c:ser>
          <c:idx val="2"/>
          <c:order val="2"/>
          <c:tx>
            <c:strRef>
              <c:f>wykresy!$B$38</c:f>
            </c:strRef>
          </c:tx>
          <c:spPr>
            <a:ln w="38100">
              <a:solidFill>
                <a:srgbClr val="7D5FA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wykresy!$C$35:$W$35</c:f>
              <c:numCache/>
            </c:numRef>
          </c:cat>
          <c:val>
            <c:numRef>
              <c:f>wykresy!$C$38:$W$38</c:f>
              <c:numCache/>
            </c:numRef>
          </c:val>
          <c:smooth val="0"/>
        </c:ser>
        <c:ser>
          <c:idx val="3"/>
          <c:order val="3"/>
          <c:spPr>
            <a:ln w="38100">
              <a:solidFill>
                <a:srgbClr val="4A7EB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wykresy!$C$35:$W$35</c:f>
              <c:numCache/>
            </c:numRef>
          </c:cat>
          <c:val>
            <c:numRef>
              <c:f>wykresy!$C$72:$W$72</c:f>
              <c:numCache/>
            </c:numRef>
          </c:val>
          <c:smooth val="0"/>
        </c:ser>
        <c:marker val="1"/>
        <c:axId val="39443225"/>
        <c:axId val="19444706"/>
      </c:lineChart>
      <c:dateAx>
        <c:axId val="39443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444706"/>
        <c:crossesAt val="0"/>
        <c:auto val="0"/>
        <c:noMultiLvlLbl val="0"/>
      </c:dateAx>
      <c:valAx>
        <c:axId val="19444706"/>
        <c:scaling>
          <c:orientation val="minMax"/>
        </c:scaling>
        <c:axPos val="l"/>
        <c:majorGridlines>
          <c:spPr>
            <a:ln w="12700">
              <a:solidFill>
                <a:srgbClr val="878787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443225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89725"/>
          <c:y val="0.324"/>
          <c:w val="0.09075"/>
          <c:h val="0.2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zadłużenie  - poziom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475"/>
          <c:w val="0.90375"/>
          <c:h val="0.83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4A7EB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wykresy!$C$71:$W$71</c:f>
              <c:numCache/>
            </c:numRef>
          </c:cat>
          <c:val>
            <c:numRef>
              <c:f>wykresy!$C$72:$W$72</c:f>
              <c:numCache/>
            </c:numRef>
          </c:val>
          <c:smooth val="0"/>
        </c:ser>
        <c:marker val="1"/>
        <c:axId val="40784627"/>
        <c:axId val="31517324"/>
      </c:lineChart>
      <c:dateAx>
        <c:axId val="40784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517324"/>
        <c:crossesAt val="0"/>
        <c:auto val="0"/>
        <c:noMultiLvlLbl val="0"/>
      </c:dateAx>
      <c:valAx>
        <c:axId val="31517324"/>
        <c:scaling>
          <c:orientation val="minMax"/>
        </c:scaling>
        <c:axPos val="l"/>
        <c:majorGridlines>
          <c:spPr>
            <a:ln w="12700">
              <a:solidFill>
                <a:srgbClr val="878787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784627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89725"/>
          <c:y val="0.32125"/>
          <c:w val="0.0905"/>
          <c:h val="0.26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7</xdr:row>
      <xdr:rowOff>114300</xdr:rowOff>
    </xdr:from>
    <xdr:to>
      <xdr:col>16</xdr:col>
      <xdr:colOff>352425</xdr:colOff>
      <xdr:row>29</xdr:row>
      <xdr:rowOff>161925</xdr:rowOff>
    </xdr:to>
    <xdr:graphicFrame>
      <xdr:nvGraphicFramePr>
        <xdr:cNvPr id="1" name="Chart 1"/>
        <xdr:cNvGraphicFramePr/>
      </xdr:nvGraphicFramePr>
      <xdr:xfrm>
        <a:off x="561975" y="1247775"/>
        <a:ext cx="1059180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438150</xdr:colOff>
      <xdr:row>39</xdr:row>
      <xdr:rowOff>66675</xdr:rowOff>
    </xdr:from>
    <xdr:to>
      <xdr:col>19</xdr:col>
      <xdr:colOff>9525</xdr:colOff>
      <xdr:row>65</xdr:row>
      <xdr:rowOff>114300</xdr:rowOff>
    </xdr:to>
    <xdr:graphicFrame>
      <xdr:nvGraphicFramePr>
        <xdr:cNvPr id="2" name="Chart 2"/>
        <xdr:cNvGraphicFramePr/>
      </xdr:nvGraphicFramePr>
      <xdr:xfrm>
        <a:off x="838200" y="6381750"/>
        <a:ext cx="117729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457200</xdr:colOff>
      <xdr:row>74</xdr:row>
      <xdr:rowOff>38100</xdr:rowOff>
    </xdr:from>
    <xdr:to>
      <xdr:col>18</xdr:col>
      <xdr:colOff>304800</xdr:colOff>
      <xdr:row>90</xdr:row>
      <xdr:rowOff>0</xdr:rowOff>
    </xdr:to>
    <xdr:graphicFrame>
      <xdr:nvGraphicFramePr>
        <xdr:cNvPr id="3" name="Chart 3"/>
        <xdr:cNvGraphicFramePr/>
      </xdr:nvGraphicFramePr>
      <xdr:xfrm>
        <a:off x="857250" y="12020550"/>
        <a:ext cx="114490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awierzbinska\AppData\Local\Microsoft\Windows\Temporary%20Internet%20Files\Content.Outlook\228HQ0PF\Formularze%20wyliczeniowe%20-%20BP%20-%20ZOZ%20Brodnica%209%2006-bank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awierzbinska\AppData\Local\Microsoft\Windows\Temporary%20Internet%20Files\Content.Outlook\228HQ0PF\Formularze%20wyliczeniowe%20-%20BP%20-%20ZOZ%20Brodnica%203.06%20-%20dla%20Banku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ZYCHODY"/>
      <sheetName val="KOSZTY"/>
      <sheetName val="RZiS"/>
      <sheetName val="BILANS"/>
      <sheetName val="PRZEPŁYWY"/>
      <sheetName val="Arkusz1"/>
      <sheetName val="spłata kred."/>
      <sheetName val="WSKAŹNIKI"/>
      <sheetName val="wykresy"/>
    </sheetNames>
    <sheetDataSet>
      <sheetData sheetId="0">
        <row r="25">
          <cell r="C25">
            <v>20963.18284</v>
          </cell>
          <cell r="D25">
            <v>27972.430770000003</v>
          </cell>
          <cell r="E25">
            <v>30260</v>
          </cell>
          <cell r="F25">
            <v>31470</v>
          </cell>
          <cell r="G25">
            <v>31997</v>
          </cell>
          <cell r="H25">
            <v>32122</v>
          </cell>
          <cell r="I25">
            <v>32348</v>
          </cell>
          <cell r="J25">
            <v>33067</v>
          </cell>
          <cell r="K25">
            <v>33491</v>
          </cell>
          <cell r="L25">
            <v>33847</v>
          </cell>
          <cell r="M25">
            <v>34314</v>
          </cell>
          <cell r="N25">
            <v>34714</v>
          </cell>
          <cell r="O25">
            <v>35262</v>
          </cell>
          <cell r="P25">
            <v>35731</v>
          </cell>
          <cell r="Q25">
            <v>36063</v>
          </cell>
          <cell r="R25">
            <v>36413</v>
          </cell>
          <cell r="S25">
            <v>36830</v>
          </cell>
          <cell r="T25">
            <v>37245</v>
          </cell>
          <cell r="U25">
            <v>37597</v>
          </cell>
          <cell r="V25">
            <v>38054</v>
          </cell>
          <cell r="W25">
            <v>38553</v>
          </cell>
          <cell r="X25">
            <v>38937</v>
          </cell>
        </row>
      </sheetData>
      <sheetData sheetId="1">
        <row r="58">
          <cell r="C58">
            <v>29989.722169999997</v>
          </cell>
          <cell r="D58">
            <v>29426</v>
          </cell>
          <cell r="E58">
            <v>29886</v>
          </cell>
          <cell r="F58">
            <v>31106.979</v>
          </cell>
          <cell r="G58">
            <v>31338.405</v>
          </cell>
          <cell r="H58">
            <v>31634.8</v>
          </cell>
          <cell r="I58">
            <v>31929.425</v>
          </cell>
          <cell r="J58">
            <v>32636.735</v>
          </cell>
          <cell r="K58">
            <v>33023.985</v>
          </cell>
          <cell r="L58">
            <v>33378.265</v>
          </cell>
          <cell r="M58">
            <v>33763.335</v>
          </cell>
          <cell r="N58">
            <v>34127.5</v>
          </cell>
          <cell r="O58">
            <v>34616.86</v>
          </cell>
          <cell r="P58">
            <v>35066.13</v>
          </cell>
          <cell r="Q58">
            <v>35434.6</v>
          </cell>
          <cell r="R58">
            <v>35789.08</v>
          </cell>
          <cell r="S58">
            <v>36135.46</v>
          </cell>
          <cell r="T58">
            <v>36482.045</v>
          </cell>
          <cell r="U58">
            <v>36850.525</v>
          </cell>
          <cell r="V58">
            <v>37240.105</v>
          </cell>
          <cell r="W58">
            <v>37693.965</v>
          </cell>
          <cell r="X58">
            <v>37948.475</v>
          </cell>
        </row>
      </sheetData>
      <sheetData sheetId="2">
        <row r="6">
          <cell r="B6">
            <v>20245.73061</v>
          </cell>
          <cell r="C6">
            <v>29562.424950000004</v>
          </cell>
          <cell r="D6">
            <v>30259.92</v>
          </cell>
          <cell r="E6">
            <v>31470</v>
          </cell>
          <cell r="F6">
            <v>31997</v>
          </cell>
          <cell r="G6">
            <v>32122</v>
          </cell>
          <cell r="H6">
            <v>32348</v>
          </cell>
          <cell r="I6">
            <v>33067</v>
          </cell>
          <cell r="J6">
            <v>33491</v>
          </cell>
          <cell r="K6">
            <v>33847</v>
          </cell>
          <cell r="L6">
            <v>34314</v>
          </cell>
          <cell r="M6">
            <v>34714</v>
          </cell>
          <cell r="N6">
            <v>35262</v>
          </cell>
          <cell r="O6">
            <v>35731</v>
          </cell>
          <cell r="P6">
            <v>36063</v>
          </cell>
          <cell r="Q6">
            <v>36413</v>
          </cell>
          <cell r="R6">
            <v>36830</v>
          </cell>
          <cell r="S6">
            <v>37245</v>
          </cell>
          <cell r="T6">
            <v>37597</v>
          </cell>
          <cell r="U6">
            <v>38054</v>
          </cell>
          <cell r="V6">
            <v>38553</v>
          </cell>
          <cell r="W6">
            <v>38937</v>
          </cell>
        </row>
        <row r="30">
          <cell r="B30">
            <v>-1753.9380199999998</v>
          </cell>
          <cell r="C30">
            <v>1261.5249500000043</v>
          </cell>
          <cell r="D30">
            <v>1632.341210911665</v>
          </cell>
          <cell r="E30">
            <v>2314.0210000000006</v>
          </cell>
          <cell r="F30">
            <v>2609.595000000001</v>
          </cell>
          <cell r="G30">
            <v>2438.2000000000007</v>
          </cell>
          <cell r="H30">
            <v>2027.6950000000006</v>
          </cell>
          <cell r="I30">
            <v>1916.2649999999994</v>
          </cell>
          <cell r="J30">
            <v>1953.0149999999994</v>
          </cell>
          <cell r="K30">
            <v>1954.7350000000006</v>
          </cell>
          <cell r="L30">
            <v>2036.6650000000009</v>
          </cell>
          <cell r="M30">
            <v>2072.5</v>
          </cell>
          <cell r="N30">
            <v>2131.1399999999994</v>
          </cell>
          <cell r="O30">
            <v>2150.8700000000026</v>
          </cell>
          <cell r="P30">
            <v>2114.4000000000015</v>
          </cell>
          <cell r="Q30">
            <v>2109.9199999999983</v>
          </cell>
          <cell r="R30">
            <v>2180.540000000001</v>
          </cell>
          <cell r="S30">
            <v>2253.9550000000017</v>
          </cell>
          <cell r="T30">
            <v>2237.4749999999985</v>
          </cell>
          <cell r="U30">
            <v>2304.894999999997</v>
          </cell>
          <cell r="V30">
            <v>2350.0350000000035</v>
          </cell>
          <cell r="W30">
            <v>2479.5250000000015</v>
          </cell>
        </row>
      </sheetData>
      <sheetData sheetId="3">
        <row r="14">
          <cell r="B14">
            <v>2895.87046</v>
          </cell>
          <cell r="C14">
            <v>8643.482951</v>
          </cell>
          <cell r="D14">
            <v>7669.283704092795</v>
          </cell>
          <cell r="E14">
            <v>7965.569899911674</v>
          </cell>
          <cell r="F14">
            <v>8873.798332386676</v>
          </cell>
          <cell r="G14">
            <v>9923.121266348802</v>
          </cell>
          <cell r="H14">
            <v>10552.436044320359</v>
          </cell>
          <cell r="I14">
            <v>11057.825118961493</v>
          </cell>
          <cell r="J14">
            <v>11586.47605472223</v>
          </cell>
          <cell r="K14">
            <v>12103.366529519393</v>
          </cell>
          <cell r="L14">
            <v>12685.714336438512</v>
          </cell>
          <cell r="M14">
            <v>13287.43238546141</v>
          </cell>
          <cell r="N14">
            <v>13933.333705219655</v>
          </cell>
          <cell r="O14">
            <v>14581.516444774279</v>
          </cell>
          <cell r="P14">
            <v>15172.788875422219</v>
          </cell>
          <cell r="Q14">
            <v>15738.149392529873</v>
          </cell>
          <cell r="R14">
            <v>16329.706517394152</v>
          </cell>
          <cell r="S14">
            <v>16989.263899131387</v>
          </cell>
          <cell r="T14">
            <v>17604.93531659468</v>
          </cell>
          <cell r="U14">
            <v>18257.629680319926</v>
          </cell>
          <cell r="V14">
            <v>18923.07603450105</v>
          </cell>
          <cell r="W14">
            <v>19682.633558994894</v>
          </cell>
        </row>
        <row r="15">
          <cell r="B15">
            <v>61.55801</v>
          </cell>
          <cell r="C15">
            <v>70</v>
          </cell>
          <cell r="D15">
            <v>70</v>
          </cell>
          <cell r="E15">
            <v>71.4</v>
          </cell>
          <cell r="F15">
            <v>72.828</v>
          </cell>
          <cell r="G15">
            <v>74.28456</v>
          </cell>
          <cell r="H15">
            <v>75.7702512</v>
          </cell>
          <cell r="I15">
            <v>77.28565622400001</v>
          </cell>
          <cell r="J15">
            <v>78.83136934848001</v>
          </cell>
          <cell r="K15">
            <v>80.40799673544961</v>
          </cell>
          <cell r="L15">
            <v>82.01615667015861</v>
          </cell>
          <cell r="M15">
            <v>83.65647980356178</v>
          </cell>
          <cell r="N15">
            <v>85.32960939963301</v>
          </cell>
          <cell r="O15">
            <v>87.03620158762567</v>
          </cell>
          <cell r="P15">
            <v>88.77692561937819</v>
          </cell>
          <cell r="Q15">
            <v>90.55246413176576</v>
          </cell>
          <cell r="R15">
            <v>92.36351341440108</v>
          </cell>
          <cell r="S15">
            <v>94.21078368268911</v>
          </cell>
          <cell r="T15">
            <v>96.0949993563429</v>
          </cell>
          <cell r="U15">
            <v>98.01689934346976</v>
          </cell>
          <cell r="V15">
            <v>99.97723733033915</v>
          </cell>
          <cell r="W15">
            <v>101.97678207694594</v>
          </cell>
        </row>
        <row r="16">
          <cell r="B16">
            <v>2306.10884</v>
          </cell>
          <cell r="C16">
            <v>2885.982951</v>
          </cell>
          <cell r="D16">
            <v>2572.0932</v>
          </cell>
          <cell r="E16">
            <v>2674.9500000000003</v>
          </cell>
          <cell r="F16">
            <v>2719.7450000000003</v>
          </cell>
          <cell r="G16">
            <v>2730.3700000000003</v>
          </cell>
          <cell r="H16">
            <v>2749.5800000000004</v>
          </cell>
          <cell r="I16">
            <v>2810.695</v>
          </cell>
          <cell r="J16">
            <v>2846.735</v>
          </cell>
          <cell r="K16">
            <v>2876.9950000000003</v>
          </cell>
          <cell r="L16">
            <v>2916.69</v>
          </cell>
          <cell r="M16">
            <v>2950.69</v>
          </cell>
          <cell r="N16">
            <v>2997.2700000000004</v>
          </cell>
          <cell r="O16">
            <v>3037.135</v>
          </cell>
          <cell r="P16">
            <v>3065.355</v>
          </cell>
          <cell r="Q16">
            <v>3095.105</v>
          </cell>
          <cell r="R16">
            <v>3130.55</v>
          </cell>
          <cell r="S16">
            <v>3165.8250000000003</v>
          </cell>
          <cell r="T16">
            <v>3195.7450000000003</v>
          </cell>
          <cell r="U16">
            <v>3234.59</v>
          </cell>
          <cell r="V16">
            <v>3277.005</v>
          </cell>
          <cell r="W16">
            <v>3309.6450000000004</v>
          </cell>
        </row>
        <row r="17">
          <cell r="B17">
            <v>16.13642</v>
          </cell>
          <cell r="C17">
            <v>5187.5</v>
          </cell>
          <cell r="D17">
            <v>4527.190504092796</v>
          </cell>
          <cell r="E17">
            <v>4799.219899911674</v>
          </cell>
          <cell r="F17">
            <v>5661.225332386675</v>
          </cell>
          <cell r="G17">
            <v>6698.466706348801</v>
          </cell>
          <cell r="H17">
            <v>7307.085793120357</v>
          </cell>
          <cell r="I17">
            <v>7749.844462737492</v>
          </cell>
          <cell r="J17">
            <v>8240.90968537375</v>
          </cell>
          <cell r="K17">
            <v>8725.963532783942</v>
          </cell>
          <cell r="L17">
            <v>9267.008179768352</v>
          </cell>
          <cell r="M17">
            <v>9833.085905657848</v>
          </cell>
          <cell r="N17">
            <v>10430.734095820022</v>
          </cell>
          <cell r="O17">
            <v>11037.345243186654</v>
          </cell>
          <cell r="P17">
            <v>11598.65694980284</v>
          </cell>
          <cell r="Q17">
            <v>12132.491928398107</v>
          </cell>
          <cell r="R17">
            <v>12686.79300397975</v>
          </cell>
          <cell r="S17">
            <v>13309.2281154487</v>
          </cell>
          <cell r="T17">
            <v>13893.095317238338</v>
          </cell>
          <cell r="U17">
            <v>14505.022780976455</v>
          </cell>
          <cell r="V17">
            <v>15126.09379717071</v>
          </cell>
        </row>
        <row r="19">
          <cell r="B19">
            <v>15819.0686</v>
          </cell>
          <cell r="C19">
            <v>25613.482221</v>
          </cell>
          <cell r="D19">
            <v>53374.586482728555</v>
          </cell>
          <cell r="E19">
            <v>53715.56989991167</v>
          </cell>
          <cell r="F19">
            <v>54553.79833238668</v>
          </cell>
          <cell r="G19">
            <v>55608.121266348804</v>
          </cell>
          <cell r="H19">
            <v>56237.43604432036</v>
          </cell>
          <cell r="I19">
            <v>56740.8251189615</v>
          </cell>
          <cell r="J19">
            <v>57264.47605472223</v>
          </cell>
          <cell r="K19">
            <v>57773.36652951939</v>
          </cell>
          <cell r="L19">
            <v>58345.71433643851</v>
          </cell>
          <cell r="M19">
            <v>58934.43238546141</v>
          </cell>
          <cell r="N19">
            <v>59560.33370521966</v>
          </cell>
          <cell r="O19">
            <v>60183.51644477428</v>
          </cell>
          <cell r="P19">
            <v>60746.78887542222</v>
          </cell>
          <cell r="Q19">
            <v>61282.14939252987</v>
          </cell>
          <cell r="R19">
            <v>61838.70651739415</v>
          </cell>
          <cell r="S19">
            <v>62460.26389913139</v>
          </cell>
          <cell r="T19">
            <v>63033.93531659468</v>
          </cell>
          <cell r="U19">
            <v>63641.62968031992</v>
          </cell>
          <cell r="V19">
            <v>64259.07603450105</v>
          </cell>
          <cell r="W19">
            <v>64968.633558994894</v>
          </cell>
        </row>
        <row r="22">
          <cell r="B22">
            <v>2504.52</v>
          </cell>
          <cell r="C22">
            <v>4911.044950000004</v>
          </cell>
          <cell r="D22">
            <v>6543.386160911676</v>
          </cell>
          <cell r="E22">
            <v>8857.407160911676</v>
          </cell>
          <cell r="F22">
            <v>11467.002160911677</v>
          </cell>
          <cell r="G22">
            <v>13905.202160911678</v>
          </cell>
          <cell r="H22">
            <v>15932.897160911678</v>
          </cell>
          <cell r="I22">
            <v>17849.162160911677</v>
          </cell>
          <cell r="J22">
            <v>19802.177160911677</v>
          </cell>
          <cell r="K22">
            <v>21756.912160911677</v>
          </cell>
          <cell r="L22">
            <v>23793.57716091168</v>
          </cell>
          <cell r="M22">
            <v>25866.07716091168</v>
          </cell>
          <cell r="N22">
            <v>27997.217160911678</v>
          </cell>
          <cell r="O22">
            <v>30148.08716091168</v>
          </cell>
          <cell r="P22">
            <v>32262.48716091168</v>
          </cell>
          <cell r="Q22">
            <v>34372.40716091168</v>
          </cell>
          <cell r="R22">
            <v>36552.94716091168</v>
          </cell>
          <cell r="S22">
            <v>38806.90216091168</v>
          </cell>
          <cell r="T22">
            <v>41044.37716091168</v>
          </cell>
          <cell r="U22">
            <v>43349.27216091168</v>
          </cell>
          <cell r="V22">
            <v>45699.30716091168</v>
          </cell>
          <cell r="W22">
            <v>48178.83216091168</v>
          </cell>
        </row>
        <row r="27">
          <cell r="B27">
            <v>13314.52968</v>
          </cell>
          <cell r="C27">
            <v>20702.4354165</v>
          </cell>
          <cell r="D27">
            <v>46831.200321816876</v>
          </cell>
          <cell r="E27">
            <v>44858.162739</v>
          </cell>
          <cell r="F27">
            <v>43086.796171475</v>
          </cell>
          <cell r="G27">
            <v>41702.919105437126</v>
          </cell>
          <cell r="H27">
            <v>40304.53888340868</v>
          </cell>
          <cell r="I27">
            <v>38891.66295804981</v>
          </cell>
          <cell r="J27">
            <v>37462.298893810555</v>
          </cell>
          <cell r="K27">
            <v>36016.454368607716</v>
          </cell>
          <cell r="L27">
            <v>34552.137175526834</v>
          </cell>
          <cell r="M27">
            <v>33068.355224549734</v>
          </cell>
          <cell r="N27">
            <v>31563.11654430798</v>
          </cell>
          <cell r="O27">
            <v>30035.4292838626</v>
          </cell>
          <cell r="P27">
            <v>28484.301714510537</v>
          </cell>
          <cell r="Q27">
            <v>26909.742231618195</v>
          </cell>
          <cell r="R27">
            <v>25285.759356482467</v>
          </cell>
          <cell r="S27">
            <v>23653.361738219704</v>
          </cell>
          <cell r="T27">
            <v>21989.558155683</v>
          </cell>
          <cell r="U27">
            <v>20292.357519408244</v>
          </cell>
          <cell r="V27">
            <v>18559.768873589368</v>
          </cell>
          <cell r="W27">
            <v>16789.80139808321</v>
          </cell>
        </row>
        <row r="29">
          <cell r="B29">
            <v>1018.544</v>
          </cell>
          <cell r="C29">
            <v>0</v>
          </cell>
          <cell r="D29">
            <v>7576.600574</v>
          </cell>
          <cell r="E29">
            <v>7385.600574</v>
          </cell>
          <cell r="F29">
            <v>7181.600574</v>
          </cell>
          <cell r="G29">
            <v>6964.600574</v>
          </cell>
          <cell r="H29">
            <v>6732.600574</v>
          </cell>
          <cell r="I29">
            <v>6485.600574</v>
          </cell>
          <cell r="J29">
            <v>6221.600574</v>
          </cell>
          <cell r="K29">
            <v>5940.600574</v>
          </cell>
          <cell r="L29">
            <v>5640.600574</v>
          </cell>
          <cell r="M29">
            <v>5320.600574</v>
          </cell>
          <cell r="N29">
            <v>4978.600574</v>
          </cell>
          <cell r="O29">
            <v>4613.600574</v>
          </cell>
          <cell r="P29">
            <v>4223.600574</v>
          </cell>
          <cell r="Q29">
            <v>3809.600574</v>
          </cell>
          <cell r="R29">
            <v>3345.600574</v>
          </cell>
          <cell r="S29">
            <v>2872.600574</v>
          </cell>
          <cell r="T29">
            <v>2367.600574</v>
          </cell>
          <cell r="U29">
            <v>1828.600574</v>
          </cell>
          <cell r="V29">
            <v>1253.600574</v>
          </cell>
          <cell r="W29">
            <v>640.600574</v>
          </cell>
        </row>
        <row r="32">
          <cell r="B32">
            <v>4963.99794</v>
          </cell>
          <cell r="C32">
            <v>6402.4354165</v>
          </cell>
          <cell r="D32">
            <v>6457.599747816877</v>
          </cell>
          <cell r="E32">
            <v>5675.562164999999</v>
          </cell>
          <cell r="F32">
            <v>5708.195597474999</v>
          </cell>
          <cell r="G32">
            <v>5741.318531437124</v>
          </cell>
          <cell r="H32">
            <v>5774.938309408681</v>
          </cell>
          <cell r="I32">
            <v>5809.06238404981</v>
          </cell>
          <cell r="J32">
            <v>5843.698319810557</v>
          </cell>
          <cell r="K32">
            <v>5878.853794607716</v>
          </cell>
          <cell r="L32">
            <v>5914.536601526832</v>
          </cell>
          <cell r="M32">
            <v>5950.754650549734</v>
          </cell>
          <cell r="N32">
            <v>5987.515970307979</v>
          </cell>
          <cell r="O32">
            <v>6024.828709862599</v>
          </cell>
          <cell r="P32">
            <v>6062.701140510538</v>
          </cell>
          <cell r="Q32">
            <v>6101.1416576181955</v>
          </cell>
          <cell r="R32">
            <v>6140.158782482468</v>
          </cell>
          <cell r="S32">
            <v>6179.761164219704</v>
          </cell>
          <cell r="T32">
            <v>6219.957581683</v>
          </cell>
          <cell r="U32">
            <v>6260.756945408245</v>
          </cell>
          <cell r="V32">
            <v>6302.168299589368</v>
          </cell>
          <cell r="W32">
            <v>6344.200824083209</v>
          </cell>
        </row>
        <row r="33">
          <cell r="B33">
            <v>1902.41556</v>
          </cell>
          <cell r="C33">
            <v>2404.9857925</v>
          </cell>
          <cell r="D33">
            <v>2143.4109999999996</v>
          </cell>
          <cell r="E33">
            <v>2175.5621649999994</v>
          </cell>
          <cell r="F33">
            <v>2208.195597474999</v>
          </cell>
          <cell r="G33">
            <v>2241.318531437124</v>
          </cell>
          <cell r="H33">
            <v>2274.9383094086807</v>
          </cell>
          <cell r="I33">
            <v>2309.0623840498106</v>
          </cell>
          <cell r="J33">
            <v>2343.6983198105577</v>
          </cell>
          <cell r="K33">
            <v>2378.853794607716</v>
          </cell>
          <cell r="L33">
            <v>2414.5366015268314</v>
          </cell>
          <cell r="M33">
            <v>2450.7546505497335</v>
          </cell>
          <cell r="N33">
            <v>2487.5159703079794</v>
          </cell>
          <cell r="O33">
            <v>2524.8287098625988</v>
          </cell>
          <cell r="P33">
            <v>2562.7011405105377</v>
          </cell>
          <cell r="Q33">
            <v>2601.1416576181955</v>
          </cell>
          <cell r="R33">
            <v>2640.1587824824683</v>
          </cell>
          <cell r="S33">
            <v>2679.761164219705</v>
          </cell>
          <cell r="T33">
            <v>2719.957581683</v>
          </cell>
          <cell r="U33">
            <v>2760.756945408245</v>
          </cell>
          <cell r="V33">
            <v>2802.1682995893684</v>
          </cell>
          <cell r="W33">
            <v>2844.2008240832088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ZYCHODY"/>
      <sheetName val="KOSZTY"/>
      <sheetName val="RZiS"/>
      <sheetName val="BILANS"/>
      <sheetName val="PRZEPŁYWY"/>
      <sheetName val="WSKAŹNIKI"/>
      <sheetName val="Arkusz1"/>
      <sheetName val="wykresy"/>
    </sheetNames>
    <sheetDataSet>
      <sheetData sheetId="0">
        <row r="3">
          <cell r="C3">
            <v>2013</v>
          </cell>
          <cell r="D3">
            <v>2014</v>
          </cell>
          <cell r="E3">
            <v>2015</v>
          </cell>
          <cell r="F3">
            <v>2016</v>
          </cell>
          <cell r="G3">
            <v>2017</v>
          </cell>
          <cell r="H3">
            <v>2018</v>
          </cell>
          <cell r="I3">
            <v>2019</v>
          </cell>
          <cell r="J3">
            <v>2020</v>
          </cell>
          <cell r="K3">
            <v>2021</v>
          </cell>
          <cell r="L3">
            <v>2022</v>
          </cell>
          <cell r="M3">
            <v>2023</v>
          </cell>
          <cell r="N3">
            <v>2024</v>
          </cell>
          <cell r="O3">
            <v>2025</v>
          </cell>
          <cell r="P3">
            <v>2026</v>
          </cell>
          <cell r="Q3">
            <v>2027</v>
          </cell>
          <cell r="R3">
            <v>2028</v>
          </cell>
          <cell r="S3">
            <v>2029</v>
          </cell>
          <cell r="T3">
            <v>2030</v>
          </cell>
          <cell r="U3">
            <v>2031</v>
          </cell>
          <cell r="V3">
            <v>2032</v>
          </cell>
          <cell r="W3">
            <v>2033</v>
          </cell>
          <cell r="X3">
            <v>2034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6"/>
  <sheetViews>
    <sheetView showGridLines="0" view="pageBreakPreview" zoomScale="90" zoomScaleNormal="80" zoomScaleSheetLayoutView="90" workbookViewId="0" topLeftCell="A1">
      <selection activeCell="U34" activeCellId="1" sqref="L37:N37 U34"/>
    </sheetView>
  </sheetViews>
  <sheetFormatPr defaultColWidth="9.140625" defaultRowHeight="12.75"/>
  <cols>
    <col min="1" max="1" width="4.00390625" style="0" customWidth="1"/>
    <col min="2" max="2" width="38.28125" style="0" customWidth="1"/>
    <col min="3" max="24" width="9.57421875" style="0" customWidth="1"/>
    <col min="25" max="16384" width="9.421875" style="0" customWidth="1"/>
  </cols>
  <sheetData>
    <row r="1" spans="1:24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5.75" customHeight="1">
      <c r="A2" s="2"/>
      <c r="B2" s="2"/>
      <c r="C2" s="1"/>
      <c r="D2" s="3" t="s">
        <v>1</v>
      </c>
      <c r="E2" s="3"/>
      <c r="F2" s="3" t="s">
        <v>2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s="5" customFormat="1" ht="14.25" customHeight="1">
      <c r="A3" s="2"/>
      <c r="B3" s="2"/>
      <c r="C3" s="4">
        <v>2013</v>
      </c>
      <c r="D3" s="4">
        <v>2014</v>
      </c>
      <c r="E3" s="4">
        <v>2015</v>
      </c>
      <c r="F3" s="4">
        <v>2016</v>
      </c>
      <c r="G3" s="4">
        <v>2017</v>
      </c>
      <c r="H3" s="4">
        <v>2018</v>
      </c>
      <c r="I3" s="4">
        <v>2019</v>
      </c>
      <c r="J3" s="4">
        <v>2020</v>
      </c>
      <c r="K3" s="4">
        <v>2021</v>
      </c>
      <c r="L3" s="4">
        <v>2022</v>
      </c>
      <c r="M3" s="4">
        <v>2023</v>
      </c>
      <c r="N3" s="4">
        <v>2024</v>
      </c>
      <c r="O3" s="4">
        <v>2025</v>
      </c>
      <c r="P3" s="4">
        <v>2026</v>
      </c>
      <c r="Q3" s="4">
        <v>2027</v>
      </c>
      <c r="R3" s="4">
        <v>2028</v>
      </c>
      <c r="S3" s="4">
        <v>2029</v>
      </c>
      <c r="T3" s="4">
        <v>2030</v>
      </c>
      <c r="U3" s="4">
        <v>2031</v>
      </c>
      <c r="V3" s="4">
        <v>2032</v>
      </c>
      <c r="W3" s="4">
        <v>2033</v>
      </c>
      <c r="X3" s="4">
        <v>2034</v>
      </c>
    </row>
    <row r="4" spans="1:24" s="5" customFormat="1" ht="12.75">
      <c r="A4" s="2"/>
      <c r="B4" s="2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46" s="10" customFormat="1" ht="14.25" customHeight="1">
      <c r="A5" s="6" t="s">
        <v>3</v>
      </c>
      <c r="B5" s="7" t="s">
        <v>4</v>
      </c>
      <c r="C5" s="8">
        <f>SUM(C6:C24)</f>
        <v>16894.738739999997</v>
      </c>
      <c r="D5" s="8">
        <f>SUM(D6:D24)</f>
        <v>27432.406950000004</v>
      </c>
      <c r="E5" s="8">
        <f aca="true" t="shared" si="0" ref="E5:X5">SUM(E6:E24)</f>
        <v>27460</v>
      </c>
      <c r="F5" s="8">
        <f t="shared" si="0"/>
        <v>28310</v>
      </c>
      <c r="G5" s="8">
        <f t="shared" si="0"/>
        <v>28827</v>
      </c>
      <c r="H5" s="8">
        <f t="shared" si="0"/>
        <v>28942</v>
      </c>
      <c r="I5" s="8">
        <f t="shared" si="0"/>
        <v>29158</v>
      </c>
      <c r="J5" s="8">
        <f t="shared" si="0"/>
        <v>29867</v>
      </c>
      <c r="K5" s="8">
        <f t="shared" si="0"/>
        <v>30281</v>
      </c>
      <c r="L5" s="8">
        <f t="shared" si="0"/>
        <v>30597</v>
      </c>
      <c r="M5" s="8">
        <f t="shared" si="0"/>
        <v>31014</v>
      </c>
      <c r="N5" s="8">
        <f t="shared" si="0"/>
        <v>31414</v>
      </c>
      <c r="O5" s="8">
        <f t="shared" si="0"/>
        <v>31962</v>
      </c>
      <c r="P5" s="8">
        <f t="shared" si="0"/>
        <v>32381</v>
      </c>
      <c r="Q5" s="8">
        <f t="shared" si="0"/>
        <v>32707</v>
      </c>
      <c r="R5" s="8">
        <f t="shared" si="0"/>
        <v>33033</v>
      </c>
      <c r="S5" s="8">
        <f t="shared" si="0"/>
        <v>33445</v>
      </c>
      <c r="T5" s="8">
        <f t="shared" si="0"/>
        <v>33855</v>
      </c>
      <c r="U5" s="8">
        <f t="shared" si="0"/>
        <v>34197</v>
      </c>
      <c r="V5" s="8">
        <f t="shared" si="0"/>
        <v>34604</v>
      </c>
      <c r="W5" s="8">
        <f t="shared" si="0"/>
        <v>35053</v>
      </c>
      <c r="X5" s="8">
        <f t="shared" si="0"/>
        <v>35417</v>
      </c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</row>
    <row r="6" spans="1:24" ht="12.75">
      <c r="A6" s="11" t="s">
        <v>5</v>
      </c>
      <c r="B6" s="12" t="s">
        <v>6</v>
      </c>
      <c r="C6" s="13">
        <v>837.03952</v>
      </c>
      <c r="D6" s="14">
        <v>1144</v>
      </c>
      <c r="E6" s="13">
        <v>1220</v>
      </c>
      <c r="F6" s="14">
        <v>1250</v>
      </c>
      <c r="G6" s="13">
        <v>1270</v>
      </c>
      <c r="H6" s="13">
        <v>1275</v>
      </c>
      <c r="I6" s="13">
        <v>1280</v>
      </c>
      <c r="J6" s="13">
        <v>1285</v>
      </c>
      <c r="K6" s="13">
        <v>1290</v>
      </c>
      <c r="L6" s="13">
        <v>1292</v>
      </c>
      <c r="M6" s="13">
        <v>1295</v>
      </c>
      <c r="N6" s="13">
        <v>1300</v>
      </c>
      <c r="O6" s="13">
        <v>1305</v>
      </c>
      <c r="P6" s="13">
        <v>1305</v>
      </c>
      <c r="Q6" s="13">
        <v>1315</v>
      </c>
      <c r="R6" s="13">
        <v>1320</v>
      </c>
      <c r="S6" s="13">
        <v>1320</v>
      </c>
      <c r="T6" s="13">
        <v>1330</v>
      </c>
      <c r="U6" s="13">
        <v>1335</v>
      </c>
      <c r="V6" s="13">
        <v>1340</v>
      </c>
      <c r="W6" s="13">
        <v>1350</v>
      </c>
      <c r="X6" s="13">
        <v>1350</v>
      </c>
    </row>
    <row r="7" spans="1:24" ht="12.75">
      <c r="A7" s="11" t="s">
        <v>7</v>
      </c>
      <c r="B7" s="12" t="s">
        <v>8</v>
      </c>
      <c r="C7" s="13">
        <v>1372.95275</v>
      </c>
      <c r="D7" s="14">
        <v>1611.99996</v>
      </c>
      <c r="E7" s="13">
        <v>1760</v>
      </c>
      <c r="F7" s="14">
        <v>1780</v>
      </c>
      <c r="G7" s="13">
        <v>1790</v>
      </c>
      <c r="H7" s="13">
        <v>1795</v>
      </c>
      <c r="I7" s="13">
        <v>1820</v>
      </c>
      <c r="J7" s="13">
        <v>1900</v>
      </c>
      <c r="K7" s="13">
        <v>1950</v>
      </c>
      <c r="L7" s="13">
        <v>1950</v>
      </c>
      <c r="M7" s="13">
        <v>1960</v>
      </c>
      <c r="N7" s="13">
        <v>1990</v>
      </c>
      <c r="O7" s="13">
        <v>2120</v>
      </c>
      <c r="P7" s="13">
        <v>2160</v>
      </c>
      <c r="Q7" s="13">
        <v>2100</v>
      </c>
      <c r="R7" s="13">
        <v>2140</v>
      </c>
      <c r="S7" s="13">
        <v>2180</v>
      </c>
      <c r="T7" s="13">
        <v>2210</v>
      </c>
      <c r="U7" s="13">
        <v>2250</v>
      </c>
      <c r="V7" s="13">
        <v>2320</v>
      </c>
      <c r="W7" s="13">
        <v>2370</v>
      </c>
      <c r="X7" s="13">
        <v>2430</v>
      </c>
    </row>
    <row r="8" spans="1:24" ht="12.75">
      <c r="A8" s="11" t="s">
        <v>9</v>
      </c>
      <c r="B8" s="12" t="s">
        <v>10</v>
      </c>
      <c r="C8" s="13">
        <v>2385.276</v>
      </c>
      <c r="D8" s="14">
        <v>2969.19996</v>
      </c>
      <c r="E8" s="13">
        <v>3160</v>
      </c>
      <c r="F8" s="14">
        <v>3180</v>
      </c>
      <c r="G8" s="13">
        <v>3280</v>
      </c>
      <c r="H8" s="13">
        <v>3220</v>
      </c>
      <c r="I8" s="13">
        <v>3240</v>
      </c>
      <c r="J8" s="13">
        <v>3350</v>
      </c>
      <c r="K8" s="13">
        <v>3400</v>
      </c>
      <c r="L8" s="13">
        <v>3480</v>
      </c>
      <c r="M8" s="13">
        <v>3510</v>
      </c>
      <c r="N8" s="13">
        <v>3540</v>
      </c>
      <c r="O8" s="13">
        <v>3600</v>
      </c>
      <c r="P8" s="13">
        <v>3670</v>
      </c>
      <c r="Q8" s="13">
        <v>3720</v>
      </c>
      <c r="R8" s="13">
        <v>3740</v>
      </c>
      <c r="S8" s="13">
        <v>3790</v>
      </c>
      <c r="T8" s="13">
        <v>3840</v>
      </c>
      <c r="U8" s="13">
        <v>3880</v>
      </c>
      <c r="V8" s="13">
        <v>3920</v>
      </c>
      <c r="W8" s="13">
        <v>3970</v>
      </c>
      <c r="X8" s="13">
        <v>4020</v>
      </c>
    </row>
    <row r="9" spans="1:24" ht="12.75">
      <c r="A9" s="11" t="s">
        <v>11</v>
      </c>
      <c r="B9" s="12" t="s">
        <v>12</v>
      </c>
      <c r="C9" s="13"/>
      <c r="D9" s="14">
        <v>3063.996</v>
      </c>
      <c r="E9" s="13">
        <v>3300</v>
      </c>
      <c r="F9" s="14">
        <v>3350</v>
      </c>
      <c r="G9" s="13">
        <v>3370</v>
      </c>
      <c r="H9" s="13">
        <v>3390</v>
      </c>
      <c r="I9" s="13">
        <v>3420</v>
      </c>
      <c r="J9" s="13">
        <v>3500</v>
      </c>
      <c r="K9" s="13">
        <v>3550</v>
      </c>
      <c r="L9" s="13">
        <v>3600</v>
      </c>
      <c r="M9" s="13">
        <v>3650</v>
      </c>
      <c r="N9" s="13">
        <v>3690</v>
      </c>
      <c r="O9" s="13">
        <v>3730</v>
      </c>
      <c r="P9" s="13">
        <v>3780</v>
      </c>
      <c r="Q9" s="13">
        <v>3870</v>
      </c>
      <c r="R9" s="13">
        <v>3950</v>
      </c>
      <c r="S9" s="13">
        <v>4010</v>
      </c>
      <c r="T9" s="13">
        <v>4080</v>
      </c>
      <c r="U9" s="13">
        <v>4120</v>
      </c>
      <c r="V9" s="13">
        <v>4160</v>
      </c>
      <c r="W9" s="13">
        <v>4200</v>
      </c>
      <c r="X9" s="13">
        <v>4260</v>
      </c>
    </row>
    <row r="10" spans="1:24" ht="12.75">
      <c r="A10" s="11" t="s">
        <v>13</v>
      </c>
      <c r="B10" s="12" t="s">
        <v>14</v>
      </c>
      <c r="C10" s="13">
        <v>1869.00436</v>
      </c>
      <c r="D10" s="14">
        <v>2415.9724</v>
      </c>
      <c r="E10" s="13">
        <v>2620</v>
      </c>
      <c r="F10" s="14">
        <v>2650</v>
      </c>
      <c r="G10" s="13">
        <v>2660</v>
      </c>
      <c r="H10" s="13">
        <v>2660</v>
      </c>
      <c r="I10" s="13">
        <v>2680</v>
      </c>
      <c r="J10" s="13">
        <v>2750</v>
      </c>
      <c r="K10" s="13">
        <v>2800</v>
      </c>
      <c r="L10" s="13">
        <v>2820</v>
      </c>
      <c r="M10" s="13">
        <v>2860</v>
      </c>
      <c r="N10" s="13">
        <v>2900</v>
      </c>
      <c r="O10" s="13">
        <v>2940</v>
      </c>
      <c r="P10" s="13">
        <v>2980</v>
      </c>
      <c r="Q10" s="13">
        <v>3020</v>
      </c>
      <c r="R10" s="13">
        <v>3090</v>
      </c>
      <c r="S10" s="13">
        <v>3150</v>
      </c>
      <c r="T10" s="13">
        <v>3200</v>
      </c>
      <c r="U10" s="13">
        <v>3250</v>
      </c>
      <c r="V10" s="13">
        <v>3280</v>
      </c>
      <c r="W10" s="13">
        <v>3310</v>
      </c>
      <c r="X10" s="13">
        <v>3350</v>
      </c>
    </row>
    <row r="11" spans="1:24" ht="12.75">
      <c r="A11" s="11" t="s">
        <v>15</v>
      </c>
      <c r="B11" s="12" t="s">
        <v>16</v>
      </c>
      <c r="C11" s="13">
        <v>922.308</v>
      </c>
      <c r="D11" s="14">
        <v>1196.81463</v>
      </c>
      <c r="E11" s="13">
        <v>1270</v>
      </c>
      <c r="F11" s="14">
        <v>1300</v>
      </c>
      <c r="G11" s="13">
        <v>1350</v>
      </c>
      <c r="H11" s="13">
        <v>1400</v>
      </c>
      <c r="I11" s="13">
        <v>1400</v>
      </c>
      <c r="J11" s="13">
        <v>1450</v>
      </c>
      <c r="K11" s="13">
        <v>1500</v>
      </c>
      <c r="L11" s="13">
        <v>1520</v>
      </c>
      <c r="M11" s="13">
        <v>1580</v>
      </c>
      <c r="N11" s="13">
        <v>1620</v>
      </c>
      <c r="O11" s="13">
        <v>1640</v>
      </c>
      <c r="P11" s="13">
        <v>1700</v>
      </c>
      <c r="Q11" s="13">
        <v>1750</v>
      </c>
      <c r="R11" s="13">
        <v>1770</v>
      </c>
      <c r="S11" s="13">
        <v>1810</v>
      </c>
      <c r="T11" s="13">
        <v>1860</v>
      </c>
      <c r="U11" s="13">
        <v>1910</v>
      </c>
      <c r="V11" s="13">
        <v>1950</v>
      </c>
      <c r="W11" s="13">
        <v>2000</v>
      </c>
      <c r="X11" s="13">
        <v>2060</v>
      </c>
    </row>
    <row r="12" spans="1:24" ht="12.75">
      <c r="A12" s="11" t="s">
        <v>17</v>
      </c>
      <c r="B12" s="12" t="s">
        <v>18</v>
      </c>
      <c r="C12" s="13">
        <v>1637.2889</v>
      </c>
      <c r="D12" s="14">
        <v>2334.02</v>
      </c>
      <c r="E12" s="13">
        <v>2420</v>
      </c>
      <c r="F12" s="14">
        <v>2450</v>
      </c>
      <c r="G12" s="13">
        <v>2490</v>
      </c>
      <c r="H12" s="13">
        <v>2530</v>
      </c>
      <c r="I12" s="13">
        <v>2530</v>
      </c>
      <c r="J12" s="13">
        <v>2570</v>
      </c>
      <c r="K12" s="13">
        <v>2610</v>
      </c>
      <c r="L12" s="13">
        <v>2650</v>
      </c>
      <c r="M12" s="13">
        <v>2690</v>
      </c>
      <c r="N12" s="13">
        <v>2740</v>
      </c>
      <c r="O12" s="13">
        <v>2790</v>
      </c>
      <c r="P12" s="13">
        <v>2810</v>
      </c>
      <c r="Q12" s="13">
        <v>2850</v>
      </c>
      <c r="R12" s="13">
        <v>2880</v>
      </c>
      <c r="S12" s="13">
        <v>2920</v>
      </c>
      <c r="T12" s="13">
        <v>2970</v>
      </c>
      <c r="U12" s="13">
        <v>3010</v>
      </c>
      <c r="V12" s="13">
        <v>3060</v>
      </c>
      <c r="W12" s="13">
        <v>3130</v>
      </c>
      <c r="X12" s="13">
        <v>3170</v>
      </c>
    </row>
    <row r="13" spans="1:24" ht="12.75">
      <c r="A13" s="11" t="s">
        <v>19</v>
      </c>
      <c r="B13" s="12" t="s">
        <v>20</v>
      </c>
      <c r="C13" s="13">
        <v>1036.6741</v>
      </c>
      <c r="D13" s="14">
        <v>1566.5832</v>
      </c>
      <c r="E13" s="13">
        <v>1630</v>
      </c>
      <c r="F13" s="14">
        <v>1650</v>
      </c>
      <c r="G13" s="13">
        <v>1690</v>
      </c>
      <c r="H13" s="13">
        <v>1700</v>
      </c>
      <c r="I13" s="13">
        <v>1720</v>
      </c>
      <c r="J13" s="13">
        <v>1770</v>
      </c>
      <c r="K13" s="13">
        <v>1800</v>
      </c>
      <c r="L13" s="13">
        <v>1830</v>
      </c>
      <c r="M13" s="13">
        <v>1880</v>
      </c>
      <c r="N13" s="13">
        <v>1920</v>
      </c>
      <c r="O13" s="13">
        <v>1950</v>
      </c>
      <c r="P13" s="13">
        <v>1970</v>
      </c>
      <c r="Q13" s="13">
        <v>2000</v>
      </c>
      <c r="R13" s="13">
        <v>2015</v>
      </c>
      <c r="S13" s="13">
        <v>2030</v>
      </c>
      <c r="T13" s="13">
        <v>2050</v>
      </c>
      <c r="U13" s="13">
        <v>2080</v>
      </c>
      <c r="V13" s="13">
        <v>2120</v>
      </c>
      <c r="W13" s="13">
        <v>2120</v>
      </c>
      <c r="X13" s="13">
        <v>2130</v>
      </c>
    </row>
    <row r="14" spans="1:24" ht="12.75">
      <c r="A14" s="11" t="s">
        <v>21</v>
      </c>
      <c r="B14" s="12" t="s">
        <v>22</v>
      </c>
      <c r="C14" s="13">
        <v>74.103</v>
      </c>
      <c r="D14" s="14">
        <v>146.0004</v>
      </c>
      <c r="E14" s="13">
        <v>155</v>
      </c>
      <c r="F14" s="14">
        <v>160</v>
      </c>
      <c r="G14" s="13">
        <v>165</v>
      </c>
      <c r="H14" s="13">
        <v>170</v>
      </c>
      <c r="I14" s="13">
        <v>175</v>
      </c>
      <c r="J14" s="13">
        <v>180</v>
      </c>
      <c r="K14" s="13">
        <v>185</v>
      </c>
      <c r="L14" s="13">
        <v>190</v>
      </c>
      <c r="M14" s="13">
        <v>195</v>
      </c>
      <c r="N14" s="13">
        <v>200</v>
      </c>
      <c r="O14" s="13">
        <v>205</v>
      </c>
      <c r="P14" s="13">
        <v>210</v>
      </c>
      <c r="Q14" s="13">
        <v>162</v>
      </c>
      <c r="R14" s="13">
        <v>162</v>
      </c>
      <c r="S14" s="13">
        <v>165</v>
      </c>
      <c r="T14" s="13">
        <v>170</v>
      </c>
      <c r="U14" s="13">
        <v>170</v>
      </c>
      <c r="V14" s="13">
        <v>175</v>
      </c>
      <c r="W14" s="13">
        <v>175</v>
      </c>
      <c r="X14" s="13">
        <v>180</v>
      </c>
    </row>
    <row r="15" spans="1:24" ht="12.75">
      <c r="A15" s="11" t="s">
        <v>23</v>
      </c>
      <c r="B15" s="12" t="s">
        <v>24</v>
      </c>
      <c r="C15" s="13">
        <v>52.3864</v>
      </c>
      <c r="D15" s="14">
        <v>69.51</v>
      </c>
      <c r="E15" s="13">
        <v>75</v>
      </c>
      <c r="F15" s="14">
        <v>80</v>
      </c>
      <c r="G15" s="13">
        <v>80</v>
      </c>
      <c r="H15" s="13">
        <v>84</v>
      </c>
      <c r="I15" s="13">
        <v>88</v>
      </c>
      <c r="J15" s="13">
        <v>92</v>
      </c>
      <c r="K15" s="13">
        <v>96</v>
      </c>
      <c r="L15" s="13">
        <v>100</v>
      </c>
      <c r="M15" s="13">
        <v>104</v>
      </c>
      <c r="N15" s="13">
        <v>108</v>
      </c>
      <c r="O15" s="13">
        <v>112</v>
      </c>
      <c r="P15" s="13">
        <v>116</v>
      </c>
      <c r="Q15" s="13">
        <v>120</v>
      </c>
      <c r="R15" s="13">
        <v>124</v>
      </c>
      <c r="S15" s="13">
        <v>130</v>
      </c>
      <c r="T15" s="13">
        <v>135</v>
      </c>
      <c r="U15" s="13">
        <v>135</v>
      </c>
      <c r="V15" s="13">
        <v>139</v>
      </c>
      <c r="W15" s="13">
        <v>143</v>
      </c>
      <c r="X15" s="13">
        <v>147</v>
      </c>
    </row>
    <row r="16" spans="1:24" ht="12.75">
      <c r="A16" s="11" t="s">
        <v>25</v>
      </c>
      <c r="B16" s="12" t="s">
        <v>26</v>
      </c>
      <c r="C16" s="13">
        <v>713.19319</v>
      </c>
      <c r="D16" s="14">
        <v>1088.43</v>
      </c>
      <c r="E16" s="13">
        <v>1140</v>
      </c>
      <c r="F16" s="14">
        <v>1150</v>
      </c>
      <c r="G16" s="13">
        <v>1150</v>
      </c>
      <c r="H16" s="13">
        <v>1153</v>
      </c>
      <c r="I16" s="13">
        <v>1165</v>
      </c>
      <c r="J16" s="13">
        <v>1190</v>
      </c>
      <c r="K16" s="13">
        <v>1220</v>
      </c>
      <c r="L16" s="13">
        <v>1250</v>
      </c>
      <c r="M16" s="13">
        <v>1270</v>
      </c>
      <c r="N16" s="13">
        <v>1320</v>
      </c>
      <c r="O16" s="13">
        <v>1340</v>
      </c>
      <c r="P16" s="13">
        <v>1350</v>
      </c>
      <c r="Q16" s="13">
        <v>1370</v>
      </c>
      <c r="R16" s="13">
        <v>1380</v>
      </c>
      <c r="S16" s="13">
        <v>1390</v>
      </c>
      <c r="T16" s="13">
        <v>1420</v>
      </c>
      <c r="U16" s="13">
        <v>1420</v>
      </c>
      <c r="V16" s="13">
        <v>1440</v>
      </c>
      <c r="W16" s="13">
        <v>1460</v>
      </c>
      <c r="X16" s="13">
        <v>1465</v>
      </c>
    </row>
    <row r="17" spans="1:24" ht="12.75">
      <c r="A17" s="11" t="s">
        <v>27</v>
      </c>
      <c r="B17" s="12" t="s">
        <v>28</v>
      </c>
      <c r="C17" s="13">
        <v>3096.50017</v>
      </c>
      <c r="D17" s="14">
        <v>3715.7</v>
      </c>
      <c r="E17" s="13">
        <v>3860</v>
      </c>
      <c r="F17" s="14">
        <v>3900</v>
      </c>
      <c r="G17" s="13">
        <v>4000</v>
      </c>
      <c r="H17" s="13">
        <v>3950</v>
      </c>
      <c r="I17" s="13">
        <v>4050</v>
      </c>
      <c r="J17" s="13">
        <v>4110</v>
      </c>
      <c r="K17" s="13">
        <v>4120</v>
      </c>
      <c r="L17" s="13">
        <v>4130</v>
      </c>
      <c r="M17" s="13">
        <v>4150</v>
      </c>
      <c r="N17" s="13">
        <v>4160</v>
      </c>
      <c r="O17" s="13">
        <v>4220</v>
      </c>
      <c r="P17" s="13">
        <v>4240</v>
      </c>
      <c r="Q17" s="13">
        <v>4260</v>
      </c>
      <c r="R17" s="13">
        <v>4260</v>
      </c>
      <c r="S17" s="13">
        <v>4270</v>
      </c>
      <c r="T17" s="13">
        <v>4280</v>
      </c>
      <c r="U17" s="13">
        <v>4290</v>
      </c>
      <c r="V17" s="13">
        <v>4310</v>
      </c>
      <c r="W17" s="13">
        <v>4320</v>
      </c>
      <c r="X17" s="13">
        <v>4320</v>
      </c>
    </row>
    <row r="18" spans="1:24" ht="12.75">
      <c r="A18" s="11" t="s">
        <v>29</v>
      </c>
      <c r="B18" s="12" t="s">
        <v>30</v>
      </c>
      <c r="C18" s="13">
        <v>695.27135</v>
      </c>
      <c r="D18" s="14">
        <v>1042.9074</v>
      </c>
      <c r="E18" s="13">
        <v>1070</v>
      </c>
      <c r="F18" s="14">
        <v>1100</v>
      </c>
      <c r="G18" s="13">
        <v>1130</v>
      </c>
      <c r="H18" s="13">
        <v>1115</v>
      </c>
      <c r="I18" s="13">
        <v>1120</v>
      </c>
      <c r="J18" s="13">
        <v>1150</v>
      </c>
      <c r="K18" s="13">
        <v>1160</v>
      </c>
      <c r="L18" s="13">
        <v>1170</v>
      </c>
      <c r="M18" s="13">
        <v>1180</v>
      </c>
      <c r="N18" s="13">
        <v>1200</v>
      </c>
      <c r="O18" s="13">
        <v>1240</v>
      </c>
      <c r="P18" s="13">
        <v>1260</v>
      </c>
      <c r="Q18" s="13">
        <v>1280</v>
      </c>
      <c r="R18" s="13">
        <v>1280</v>
      </c>
      <c r="S18" s="13">
        <v>1285</v>
      </c>
      <c r="T18" s="13">
        <v>1290</v>
      </c>
      <c r="U18" s="13">
        <v>1290</v>
      </c>
      <c r="V18" s="13">
        <v>1300</v>
      </c>
      <c r="W18" s="13">
        <v>1300</v>
      </c>
      <c r="X18" s="13">
        <v>1320</v>
      </c>
    </row>
    <row r="19" spans="1:24" ht="12.75">
      <c r="A19" s="11" t="s">
        <v>31</v>
      </c>
      <c r="B19" s="12" t="s">
        <v>32</v>
      </c>
      <c r="C19" s="13">
        <v>0</v>
      </c>
      <c r="D19" s="14">
        <v>168</v>
      </c>
      <c r="E19" s="13">
        <v>220</v>
      </c>
      <c r="F19" s="14">
        <v>240</v>
      </c>
      <c r="G19" s="13">
        <v>240</v>
      </c>
      <c r="H19" s="13">
        <v>240</v>
      </c>
      <c r="I19" s="13">
        <v>240</v>
      </c>
      <c r="J19" s="13">
        <v>260</v>
      </c>
      <c r="K19" s="13">
        <v>260</v>
      </c>
      <c r="L19" s="13">
        <v>260</v>
      </c>
      <c r="M19" s="13">
        <v>280</v>
      </c>
      <c r="N19" s="13">
        <v>280</v>
      </c>
      <c r="O19" s="13">
        <v>280</v>
      </c>
      <c r="P19" s="13">
        <v>280</v>
      </c>
      <c r="Q19" s="13">
        <v>290</v>
      </c>
      <c r="R19" s="13">
        <v>290</v>
      </c>
      <c r="S19" s="13">
        <v>300</v>
      </c>
      <c r="T19" s="13">
        <v>300</v>
      </c>
      <c r="U19" s="13">
        <v>300</v>
      </c>
      <c r="V19" s="13">
        <v>300</v>
      </c>
      <c r="W19" s="13">
        <v>300</v>
      </c>
      <c r="X19" s="13">
        <v>300</v>
      </c>
    </row>
    <row r="20" spans="1:24" ht="12.75">
      <c r="A20" s="11" t="s">
        <v>33</v>
      </c>
      <c r="B20" s="12" t="s">
        <v>34</v>
      </c>
      <c r="C20" s="13">
        <v>413.741</v>
      </c>
      <c r="D20" s="14">
        <v>531.291</v>
      </c>
      <c r="E20" s="13">
        <v>600</v>
      </c>
      <c r="F20" s="14">
        <v>650</v>
      </c>
      <c r="G20" s="13">
        <v>662</v>
      </c>
      <c r="H20" s="13">
        <v>670</v>
      </c>
      <c r="I20" s="13">
        <v>675</v>
      </c>
      <c r="J20" s="13">
        <v>690</v>
      </c>
      <c r="K20" s="13">
        <v>700</v>
      </c>
      <c r="L20" s="13">
        <v>705</v>
      </c>
      <c r="M20" s="13">
        <v>710</v>
      </c>
      <c r="N20" s="13">
        <v>726</v>
      </c>
      <c r="O20" s="13">
        <v>730</v>
      </c>
      <c r="P20" s="13">
        <v>740</v>
      </c>
      <c r="Q20" s="13">
        <v>750</v>
      </c>
      <c r="R20" s="13">
        <v>762</v>
      </c>
      <c r="S20" s="13">
        <v>795</v>
      </c>
      <c r="T20" s="13">
        <v>810</v>
      </c>
      <c r="U20" s="13">
        <v>822</v>
      </c>
      <c r="V20" s="13">
        <v>835</v>
      </c>
      <c r="W20" s="13">
        <v>840</v>
      </c>
      <c r="X20" s="13">
        <v>840</v>
      </c>
    </row>
    <row r="21" spans="1:24" ht="12.75">
      <c r="A21" s="11" t="s">
        <v>35</v>
      </c>
      <c r="B21" s="12" t="s">
        <v>36</v>
      </c>
      <c r="C21" s="15">
        <v>0</v>
      </c>
      <c r="D21" s="15">
        <v>0</v>
      </c>
      <c r="E21" s="15">
        <v>0</v>
      </c>
      <c r="F21" s="15">
        <v>350</v>
      </c>
      <c r="G21" s="13">
        <v>420</v>
      </c>
      <c r="H21" s="13">
        <v>450</v>
      </c>
      <c r="I21" s="13">
        <v>455</v>
      </c>
      <c r="J21" s="13">
        <v>480</v>
      </c>
      <c r="K21" s="13">
        <v>490</v>
      </c>
      <c r="L21" s="13">
        <v>490</v>
      </c>
      <c r="M21" s="13">
        <v>510</v>
      </c>
      <c r="N21" s="13">
        <v>510</v>
      </c>
      <c r="O21" s="13">
        <v>510</v>
      </c>
      <c r="P21" s="13">
        <v>530</v>
      </c>
      <c r="Q21" s="13">
        <v>530</v>
      </c>
      <c r="R21" s="13">
        <v>530</v>
      </c>
      <c r="S21" s="13">
        <v>540</v>
      </c>
      <c r="T21" s="13">
        <v>540</v>
      </c>
      <c r="U21" s="13">
        <v>540</v>
      </c>
      <c r="V21" s="13">
        <v>550</v>
      </c>
      <c r="W21" s="13">
        <v>550</v>
      </c>
      <c r="X21" s="13">
        <v>550</v>
      </c>
    </row>
    <row r="22" spans="1:24" ht="12.75">
      <c r="A22" s="11" t="s">
        <v>37</v>
      </c>
      <c r="B22" s="12" t="s">
        <v>38</v>
      </c>
      <c r="C22" s="15">
        <v>0</v>
      </c>
      <c r="D22" s="15">
        <v>240</v>
      </c>
      <c r="E22" s="15">
        <v>300</v>
      </c>
      <c r="F22" s="15">
        <v>370</v>
      </c>
      <c r="G22" s="13">
        <v>380</v>
      </c>
      <c r="H22" s="13">
        <v>380</v>
      </c>
      <c r="I22" s="13">
        <v>380</v>
      </c>
      <c r="J22" s="13">
        <v>390</v>
      </c>
      <c r="K22" s="13">
        <v>400</v>
      </c>
      <c r="L22" s="13">
        <v>410</v>
      </c>
      <c r="M22" s="13">
        <v>420</v>
      </c>
      <c r="N22" s="13">
        <v>430</v>
      </c>
      <c r="O22" s="13">
        <v>450</v>
      </c>
      <c r="P22" s="13">
        <v>460</v>
      </c>
      <c r="Q22" s="13">
        <v>470</v>
      </c>
      <c r="R22" s="13">
        <v>480</v>
      </c>
      <c r="S22" s="13">
        <v>490</v>
      </c>
      <c r="T22" s="13">
        <v>500</v>
      </c>
      <c r="U22" s="13">
        <v>510</v>
      </c>
      <c r="V22" s="13">
        <v>520</v>
      </c>
      <c r="W22" s="13">
        <v>525</v>
      </c>
      <c r="X22" s="13">
        <v>530</v>
      </c>
    </row>
    <row r="23" spans="1:24" ht="12.75">
      <c r="A23" s="11" t="s">
        <v>39</v>
      </c>
      <c r="B23" s="12" t="s">
        <v>40</v>
      </c>
      <c r="C23" s="15">
        <v>1789</v>
      </c>
      <c r="D23" s="15">
        <v>2537.982</v>
      </c>
      <c r="E23" s="15">
        <v>2660</v>
      </c>
      <c r="F23" s="15">
        <v>2700</v>
      </c>
      <c r="G23" s="13">
        <v>2700</v>
      </c>
      <c r="H23" s="13">
        <v>2760</v>
      </c>
      <c r="I23" s="13">
        <v>2720</v>
      </c>
      <c r="J23" s="13">
        <v>2750</v>
      </c>
      <c r="K23" s="13">
        <v>2750</v>
      </c>
      <c r="L23" s="13">
        <v>2750</v>
      </c>
      <c r="M23" s="13">
        <v>2770</v>
      </c>
      <c r="N23" s="13">
        <v>2780</v>
      </c>
      <c r="O23" s="13">
        <v>2800</v>
      </c>
      <c r="P23" s="13">
        <v>2820</v>
      </c>
      <c r="Q23" s="13">
        <v>2850</v>
      </c>
      <c r="R23" s="13">
        <v>2860</v>
      </c>
      <c r="S23" s="13">
        <v>2870</v>
      </c>
      <c r="T23" s="13">
        <v>2870</v>
      </c>
      <c r="U23" s="13">
        <v>2885</v>
      </c>
      <c r="V23" s="13">
        <v>2885</v>
      </c>
      <c r="W23" s="13">
        <v>2990</v>
      </c>
      <c r="X23" s="13">
        <v>2995</v>
      </c>
    </row>
    <row r="24" spans="1:24" ht="12.75">
      <c r="A24" s="11" t="s">
        <v>41</v>
      </c>
      <c r="B24" s="12" t="s">
        <v>42</v>
      </c>
      <c r="C24" s="13">
        <v>0</v>
      </c>
      <c r="D24" s="15">
        <v>1590</v>
      </c>
      <c r="E24" s="13">
        <v>0</v>
      </c>
      <c r="F24" s="14">
        <v>0</v>
      </c>
      <c r="G24" s="13">
        <v>0</v>
      </c>
      <c r="H24" s="14">
        <v>0</v>
      </c>
      <c r="I24" s="13">
        <v>0</v>
      </c>
      <c r="J24" s="14">
        <v>0</v>
      </c>
      <c r="K24" s="13">
        <v>0</v>
      </c>
      <c r="L24" s="14">
        <v>0</v>
      </c>
      <c r="M24" s="13">
        <v>0</v>
      </c>
      <c r="N24" s="14">
        <v>0</v>
      </c>
      <c r="O24" s="13">
        <v>0</v>
      </c>
      <c r="P24" s="14">
        <v>0</v>
      </c>
      <c r="Q24" s="13">
        <v>0</v>
      </c>
      <c r="R24" s="14">
        <v>0</v>
      </c>
      <c r="S24" s="13">
        <v>0</v>
      </c>
      <c r="T24" s="14">
        <v>0</v>
      </c>
      <c r="U24" s="13">
        <v>0</v>
      </c>
      <c r="V24" s="14">
        <v>0</v>
      </c>
      <c r="W24" s="13">
        <v>0</v>
      </c>
      <c r="X24" s="14">
        <v>0</v>
      </c>
    </row>
    <row r="25" spans="1:46" s="20" customFormat="1" ht="27.75" customHeight="1">
      <c r="A25" s="16" t="s">
        <v>43</v>
      </c>
      <c r="B25" s="17" t="s">
        <v>44</v>
      </c>
      <c r="C25" s="18">
        <v>1383.22518</v>
      </c>
      <c r="D25" s="18">
        <v>2130.02382</v>
      </c>
      <c r="E25" s="18">
        <v>2800</v>
      </c>
      <c r="F25" s="18">
        <v>3160</v>
      </c>
      <c r="G25" s="18">
        <v>3170</v>
      </c>
      <c r="H25" s="18">
        <v>3180</v>
      </c>
      <c r="I25" s="18">
        <v>3190</v>
      </c>
      <c r="J25" s="18">
        <v>3200</v>
      </c>
      <c r="K25" s="18">
        <v>3210</v>
      </c>
      <c r="L25" s="18">
        <v>3250</v>
      </c>
      <c r="M25" s="18">
        <v>3300</v>
      </c>
      <c r="N25" s="18">
        <v>3300</v>
      </c>
      <c r="O25" s="18">
        <v>3300</v>
      </c>
      <c r="P25" s="18">
        <v>3350</v>
      </c>
      <c r="Q25" s="18">
        <v>3356</v>
      </c>
      <c r="R25" s="18">
        <v>3380</v>
      </c>
      <c r="S25" s="18">
        <v>3385</v>
      </c>
      <c r="T25" s="18">
        <v>3390</v>
      </c>
      <c r="U25" s="18">
        <v>3400</v>
      </c>
      <c r="V25" s="18">
        <v>3450</v>
      </c>
      <c r="W25" s="18">
        <v>3500</v>
      </c>
      <c r="X25" s="18">
        <v>3520</v>
      </c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</row>
    <row r="26" spans="1:24" s="24" customFormat="1" ht="17.25" customHeight="1">
      <c r="A26" s="21"/>
      <c r="B26" s="22" t="s">
        <v>45</v>
      </c>
      <c r="C26" s="23">
        <f>C5+C25</f>
        <v>18277.96392</v>
      </c>
      <c r="D26" s="23">
        <f>D25+D5</f>
        <v>29562.430770000003</v>
      </c>
      <c r="E26" s="23">
        <f>E25+E5</f>
        <v>30260</v>
      </c>
      <c r="F26" s="23">
        <f>F5+F25</f>
        <v>31470</v>
      </c>
      <c r="G26" s="23">
        <f>G25+G5</f>
        <v>31997</v>
      </c>
      <c r="H26" s="23">
        <f aca="true" t="shared" si="1" ref="H26:X26">H5+H25</f>
        <v>32122</v>
      </c>
      <c r="I26" s="23">
        <f t="shared" si="1"/>
        <v>32348</v>
      </c>
      <c r="J26" s="23">
        <f t="shared" si="1"/>
        <v>33067</v>
      </c>
      <c r="K26" s="23">
        <f t="shared" si="1"/>
        <v>33491</v>
      </c>
      <c r="L26" s="23">
        <f t="shared" si="1"/>
        <v>33847</v>
      </c>
      <c r="M26" s="23">
        <f t="shared" si="1"/>
        <v>34314</v>
      </c>
      <c r="N26" s="23">
        <f t="shared" si="1"/>
        <v>34714</v>
      </c>
      <c r="O26" s="23">
        <f t="shared" si="1"/>
        <v>35262</v>
      </c>
      <c r="P26" s="23">
        <f t="shared" si="1"/>
        <v>35731</v>
      </c>
      <c r="Q26" s="23">
        <f t="shared" si="1"/>
        <v>36063</v>
      </c>
      <c r="R26" s="23">
        <f t="shared" si="1"/>
        <v>36413</v>
      </c>
      <c r="S26" s="23">
        <f t="shared" si="1"/>
        <v>36830</v>
      </c>
      <c r="T26" s="23">
        <f t="shared" si="1"/>
        <v>37245</v>
      </c>
      <c r="U26" s="23">
        <f t="shared" si="1"/>
        <v>37597</v>
      </c>
      <c r="V26" s="23">
        <f t="shared" si="1"/>
        <v>38054</v>
      </c>
      <c r="W26" s="23">
        <f t="shared" si="1"/>
        <v>38553</v>
      </c>
      <c r="X26" s="23">
        <f t="shared" si="1"/>
        <v>38937</v>
      </c>
    </row>
  </sheetData>
  <sheetProtection selectLockedCells="1" selectUnlockedCells="1"/>
  <mergeCells count="27">
    <mergeCell ref="A1:X1"/>
    <mergeCell ref="A2:B2"/>
    <mergeCell ref="D2:E2"/>
    <mergeCell ref="F2:X2"/>
    <mergeCell ref="A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</mergeCells>
  <printOptions horizontalCentered="1" verticalCentered="1"/>
  <pageMargins left="0.7083333333333334" right="0.7083333333333334" top="0.7486111111111111" bottom="0.7486111111111111" header="0.31527777777777777" footer="0.31527777777777777"/>
  <pageSetup horizontalDpi="300" verticalDpi="300" orientation="landscape" paperSize="9"/>
  <headerFooter alignWithMargins="0">
    <oddHeader>&amp;R&amp;"Czcionka tekstu podstawowego,Regularna"&amp;11Zespół Opieki Zdrowotnej w Brodnicy</oddHeader>
    <oddFooter>&amp;C&amp;"Czcionka tekstu podstawowego,Regularna"&amp;11Lech Consulting Sp. z o.o.
www.LC.net.pl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T60"/>
  <sheetViews>
    <sheetView showGridLines="0" view="pageBreakPreview" zoomScale="90" zoomScaleNormal="71" zoomScaleSheetLayoutView="90" workbookViewId="0" topLeftCell="A19">
      <selection activeCell="U69" activeCellId="1" sqref="L37:N37 U69"/>
    </sheetView>
  </sheetViews>
  <sheetFormatPr defaultColWidth="9.140625" defaultRowHeight="12.75"/>
  <cols>
    <col min="1" max="1" width="4.7109375" style="0" customWidth="1"/>
    <col min="2" max="2" width="45.140625" style="0" customWidth="1"/>
    <col min="3" max="24" width="8.421875" style="0" customWidth="1"/>
    <col min="25" max="16384" width="9.421875" style="0" customWidth="1"/>
  </cols>
  <sheetData>
    <row r="1" spans="1:24" ht="15.75" customHeight="1">
      <c r="A1" s="1" t="s">
        <v>46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7" customHeight="1">
      <c r="A2" s="1"/>
      <c r="B2" s="1"/>
      <c r="C2" s="1"/>
      <c r="D2" s="3" t="s">
        <v>1</v>
      </c>
      <c r="E2" s="3"/>
      <c r="F2" s="3" t="s">
        <v>2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s="5" customFormat="1" ht="14.25" customHeight="1">
      <c r="A3" s="2"/>
      <c r="B3" s="2"/>
      <c r="C3" s="4">
        <v>2013</v>
      </c>
      <c r="D3" s="4">
        <v>2014</v>
      </c>
      <c r="E3" s="4">
        <v>2015</v>
      </c>
      <c r="F3" s="4">
        <v>2016</v>
      </c>
      <c r="G3" s="4">
        <v>2017</v>
      </c>
      <c r="H3" s="4">
        <v>2018</v>
      </c>
      <c r="I3" s="4">
        <v>2019</v>
      </c>
      <c r="J3" s="4">
        <v>2020</v>
      </c>
      <c r="K3" s="4">
        <v>2021</v>
      </c>
      <c r="L3" s="4">
        <v>2022</v>
      </c>
      <c r="M3" s="4">
        <v>2023</v>
      </c>
      <c r="N3" s="4">
        <v>2024</v>
      </c>
      <c r="O3" s="4">
        <v>2025</v>
      </c>
      <c r="P3" s="4">
        <v>2026</v>
      </c>
      <c r="Q3" s="4">
        <v>2027</v>
      </c>
      <c r="R3" s="4">
        <v>2028</v>
      </c>
      <c r="S3" s="4">
        <v>2029</v>
      </c>
      <c r="T3" s="4">
        <v>2030</v>
      </c>
      <c r="U3" s="4">
        <v>2031</v>
      </c>
      <c r="V3" s="4">
        <v>2032</v>
      </c>
      <c r="W3" s="4">
        <v>2033</v>
      </c>
      <c r="X3" s="4">
        <v>2034</v>
      </c>
    </row>
    <row r="4" spans="1:24" s="5" customFormat="1" ht="12.75">
      <c r="A4" s="2"/>
      <c r="B4" s="2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46" s="10" customFormat="1" ht="14.25" customHeight="1">
      <c r="A5" s="16" t="s">
        <v>47</v>
      </c>
      <c r="B5" s="16" t="s">
        <v>48</v>
      </c>
      <c r="C5" s="8">
        <v>607.74968</v>
      </c>
      <c r="D5" s="8">
        <v>1035</v>
      </c>
      <c r="E5" s="8">
        <v>1200</v>
      </c>
      <c r="F5" s="25">
        <v>1990</v>
      </c>
      <c r="G5" s="25">
        <v>1990</v>
      </c>
      <c r="H5" s="25">
        <v>1995</v>
      </c>
      <c r="I5" s="25">
        <v>2000</v>
      </c>
      <c r="J5" s="25">
        <v>2002</v>
      </c>
      <c r="K5" s="25">
        <v>2005</v>
      </c>
      <c r="L5" s="25">
        <v>2008</v>
      </c>
      <c r="M5" s="25">
        <v>2010</v>
      </c>
      <c r="N5" s="25">
        <v>2013</v>
      </c>
      <c r="O5" s="25">
        <v>2020</v>
      </c>
      <c r="P5" s="25">
        <v>2025</v>
      </c>
      <c r="Q5" s="25">
        <v>2028</v>
      </c>
      <c r="R5" s="25">
        <v>2030</v>
      </c>
      <c r="S5" s="25">
        <v>2035</v>
      </c>
      <c r="T5" s="25">
        <v>2038</v>
      </c>
      <c r="U5" s="25">
        <v>2042</v>
      </c>
      <c r="V5" s="25">
        <v>2045</v>
      </c>
      <c r="W5" s="25">
        <v>2048</v>
      </c>
      <c r="X5" s="25">
        <v>2050</v>
      </c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</row>
    <row r="6" spans="1:24" ht="12.75">
      <c r="A6" s="16" t="s">
        <v>49</v>
      </c>
      <c r="B6" s="16" t="s">
        <v>50</v>
      </c>
      <c r="C6" s="8">
        <f>SUM(C7:C22)</f>
        <v>3967.174</v>
      </c>
      <c r="D6" s="8">
        <f>SUM(D7:D22)</f>
        <v>4909</v>
      </c>
      <c r="E6" s="8">
        <f>SUM(E7:E22)</f>
        <v>5036</v>
      </c>
      <c r="F6" s="26">
        <f>SUM(F7:F22)</f>
        <v>5123</v>
      </c>
      <c r="G6" s="26">
        <f aca="true" t="shared" si="0" ref="G6:X6">SUM(G7:G22)</f>
        <v>5239</v>
      </c>
      <c r="H6" s="26">
        <f t="shared" si="0"/>
        <v>5334</v>
      </c>
      <c r="I6" s="26">
        <f t="shared" si="0"/>
        <v>5432</v>
      </c>
      <c r="J6" s="26">
        <f t="shared" si="0"/>
        <v>5538</v>
      </c>
      <c r="K6" s="26">
        <f t="shared" si="0"/>
        <v>5631</v>
      </c>
      <c r="L6" s="26">
        <f t="shared" si="0"/>
        <v>5764</v>
      </c>
      <c r="M6" s="26">
        <f t="shared" si="0"/>
        <v>5898</v>
      </c>
      <c r="N6" s="26">
        <f t="shared" si="0"/>
        <v>6011</v>
      </c>
      <c r="O6" s="26">
        <f t="shared" si="0"/>
        <v>6150</v>
      </c>
      <c r="P6" s="26">
        <f t="shared" si="0"/>
        <v>6279</v>
      </c>
      <c r="Q6" s="26">
        <f t="shared" si="0"/>
        <v>6404</v>
      </c>
      <c r="R6" s="26">
        <f t="shared" si="0"/>
        <v>6548</v>
      </c>
      <c r="S6" s="26">
        <f t="shared" si="0"/>
        <v>6700</v>
      </c>
      <c r="T6" s="26">
        <f t="shared" si="0"/>
        <v>6850</v>
      </c>
      <c r="U6" s="26">
        <f t="shared" si="0"/>
        <v>7009</v>
      </c>
      <c r="V6" s="26">
        <f t="shared" si="0"/>
        <v>7189</v>
      </c>
      <c r="W6" s="26">
        <f t="shared" si="0"/>
        <v>7352</v>
      </c>
      <c r="X6" s="26">
        <f t="shared" si="0"/>
        <v>7502</v>
      </c>
    </row>
    <row r="7" spans="1:24" s="30" customFormat="1" ht="12.75">
      <c r="A7" s="27" t="s">
        <v>3</v>
      </c>
      <c r="B7" s="28" t="s">
        <v>51</v>
      </c>
      <c r="C7" s="14">
        <v>1683</v>
      </c>
      <c r="D7" s="14">
        <v>1115</v>
      </c>
      <c r="E7" s="14">
        <v>1085</v>
      </c>
      <c r="F7" s="29">
        <v>1100</v>
      </c>
      <c r="G7" s="29">
        <v>1130</v>
      </c>
      <c r="H7" s="29">
        <v>1155</v>
      </c>
      <c r="I7" s="29">
        <v>1180</v>
      </c>
      <c r="J7" s="29">
        <v>1205</v>
      </c>
      <c r="K7" s="29">
        <v>1230</v>
      </c>
      <c r="L7" s="29">
        <v>1270</v>
      </c>
      <c r="M7" s="29">
        <v>1295</v>
      </c>
      <c r="N7" s="29">
        <v>1320</v>
      </c>
      <c r="O7" s="29">
        <v>1360</v>
      </c>
      <c r="P7" s="29">
        <v>1385</v>
      </c>
      <c r="Q7" s="29">
        <v>1410</v>
      </c>
      <c r="R7" s="29">
        <v>1435</v>
      </c>
      <c r="S7" s="29">
        <v>1460</v>
      </c>
      <c r="T7" s="29">
        <v>1485</v>
      </c>
      <c r="U7" s="29">
        <v>1510</v>
      </c>
      <c r="V7" s="29">
        <v>1535</v>
      </c>
      <c r="W7" s="29">
        <v>1550</v>
      </c>
      <c r="X7" s="29">
        <v>1575</v>
      </c>
    </row>
    <row r="8" spans="1:24" s="30" customFormat="1" ht="12.75">
      <c r="A8" s="27" t="s">
        <v>43</v>
      </c>
      <c r="B8" s="28" t="s">
        <v>52</v>
      </c>
      <c r="C8" s="14">
        <v>0</v>
      </c>
      <c r="D8" s="14">
        <v>229</v>
      </c>
      <c r="E8" s="14">
        <v>230</v>
      </c>
      <c r="F8" s="31">
        <v>235</v>
      </c>
      <c r="G8" s="31">
        <v>238</v>
      </c>
      <c r="H8" s="31">
        <v>243</v>
      </c>
      <c r="I8" s="31">
        <v>246</v>
      </c>
      <c r="J8" s="31">
        <v>249</v>
      </c>
      <c r="K8" s="31">
        <v>253</v>
      </c>
      <c r="L8" s="31">
        <v>260</v>
      </c>
      <c r="M8" s="31">
        <v>270</v>
      </c>
      <c r="N8" s="31">
        <v>285</v>
      </c>
      <c r="O8" s="31">
        <v>295</v>
      </c>
      <c r="P8" s="31">
        <v>305</v>
      </c>
      <c r="Q8" s="31">
        <v>320</v>
      </c>
      <c r="R8" s="31">
        <v>332</v>
      </c>
      <c r="S8" s="31">
        <v>350</v>
      </c>
      <c r="T8" s="31">
        <v>365</v>
      </c>
      <c r="U8" s="31">
        <v>370</v>
      </c>
      <c r="V8" s="31">
        <v>385</v>
      </c>
      <c r="W8" s="31">
        <v>400</v>
      </c>
      <c r="X8" s="31">
        <v>415</v>
      </c>
    </row>
    <row r="9" spans="1:24" s="30" customFormat="1" ht="12.75">
      <c r="A9" s="27" t="s">
        <v>53</v>
      </c>
      <c r="B9" s="28" t="s">
        <v>54</v>
      </c>
      <c r="C9" s="14">
        <v>0</v>
      </c>
      <c r="D9" s="14">
        <v>388</v>
      </c>
      <c r="E9" s="14">
        <v>380</v>
      </c>
      <c r="F9" s="31">
        <v>390</v>
      </c>
      <c r="G9" s="31">
        <v>400</v>
      </c>
      <c r="H9" s="31">
        <v>410</v>
      </c>
      <c r="I9" s="31">
        <v>418</v>
      </c>
      <c r="J9" s="32">
        <v>426</v>
      </c>
      <c r="K9" s="31">
        <v>434</v>
      </c>
      <c r="L9" s="31">
        <v>442</v>
      </c>
      <c r="M9" s="31">
        <v>445</v>
      </c>
      <c r="N9" s="31">
        <v>453</v>
      </c>
      <c r="O9" s="31">
        <v>465</v>
      </c>
      <c r="P9" s="31">
        <v>475</v>
      </c>
      <c r="Q9" s="31">
        <v>480</v>
      </c>
      <c r="R9" s="31">
        <v>488</v>
      </c>
      <c r="S9" s="31">
        <v>495</v>
      </c>
      <c r="T9" s="31">
        <v>503</v>
      </c>
      <c r="U9" s="31">
        <v>511</v>
      </c>
      <c r="V9" s="31">
        <v>519</v>
      </c>
      <c r="W9" s="31">
        <v>527</v>
      </c>
      <c r="X9" s="31">
        <v>532</v>
      </c>
    </row>
    <row r="10" spans="1:24" s="30" customFormat="1" ht="12.75">
      <c r="A10" s="27" t="s">
        <v>55</v>
      </c>
      <c r="B10" s="28" t="s">
        <v>56</v>
      </c>
      <c r="C10" s="14">
        <v>0</v>
      </c>
      <c r="D10" s="14">
        <v>40</v>
      </c>
      <c r="E10" s="14">
        <v>40</v>
      </c>
      <c r="F10" s="31">
        <v>43</v>
      </c>
      <c r="G10" s="31">
        <v>45</v>
      </c>
      <c r="H10" s="31">
        <v>46</v>
      </c>
      <c r="I10" s="31">
        <v>48</v>
      </c>
      <c r="J10" s="31">
        <v>49</v>
      </c>
      <c r="K10" s="31">
        <v>51</v>
      </c>
      <c r="L10" s="31">
        <v>52</v>
      </c>
      <c r="M10" s="31">
        <v>54</v>
      </c>
      <c r="N10" s="31">
        <v>55</v>
      </c>
      <c r="O10" s="31">
        <v>57</v>
      </c>
      <c r="P10" s="31">
        <v>58</v>
      </c>
      <c r="Q10" s="31">
        <v>60</v>
      </c>
      <c r="R10" s="31">
        <v>66</v>
      </c>
      <c r="S10" s="31">
        <v>72</v>
      </c>
      <c r="T10" s="31">
        <v>78</v>
      </c>
      <c r="U10" s="31">
        <v>83</v>
      </c>
      <c r="V10" s="31">
        <v>88</v>
      </c>
      <c r="W10" s="31">
        <v>94</v>
      </c>
      <c r="X10" s="31">
        <v>100</v>
      </c>
    </row>
    <row r="11" spans="1:24" s="30" customFormat="1" ht="12.75">
      <c r="A11" s="27" t="s">
        <v>57</v>
      </c>
      <c r="B11" s="28" t="s">
        <v>58</v>
      </c>
      <c r="C11" s="14">
        <v>774</v>
      </c>
      <c r="D11" s="14">
        <v>853</v>
      </c>
      <c r="E11" s="14">
        <v>935</v>
      </c>
      <c r="F11" s="31">
        <v>940</v>
      </c>
      <c r="G11" s="31">
        <v>960</v>
      </c>
      <c r="H11" s="31">
        <v>980</v>
      </c>
      <c r="I11" s="29">
        <v>1000</v>
      </c>
      <c r="J11" s="29">
        <v>1020</v>
      </c>
      <c r="K11" s="29">
        <v>1040</v>
      </c>
      <c r="L11" s="29">
        <v>1070</v>
      </c>
      <c r="M11" s="29">
        <v>1090</v>
      </c>
      <c r="N11" s="29">
        <v>1110</v>
      </c>
      <c r="O11" s="29">
        <v>1130</v>
      </c>
      <c r="P11" s="29">
        <v>1150</v>
      </c>
      <c r="Q11" s="29">
        <v>1170</v>
      </c>
      <c r="R11" s="29">
        <v>1190</v>
      </c>
      <c r="S11" s="29">
        <v>1210</v>
      </c>
      <c r="T11" s="29">
        <v>1230</v>
      </c>
      <c r="U11" s="29">
        <v>1265</v>
      </c>
      <c r="V11" s="29">
        <v>1285</v>
      </c>
      <c r="W11" s="29">
        <v>1305</v>
      </c>
      <c r="X11" s="29">
        <v>1315</v>
      </c>
    </row>
    <row r="12" spans="1:24" s="30" customFormat="1" ht="12.75">
      <c r="A12" s="27" t="s">
        <v>59</v>
      </c>
      <c r="B12" s="27" t="s">
        <v>60</v>
      </c>
      <c r="C12" s="14">
        <v>277</v>
      </c>
      <c r="D12" s="14">
        <v>580</v>
      </c>
      <c r="E12" s="14">
        <v>690</v>
      </c>
      <c r="F12" s="31">
        <v>700</v>
      </c>
      <c r="G12" s="31">
        <v>710</v>
      </c>
      <c r="H12" s="31">
        <v>720</v>
      </c>
      <c r="I12" s="31">
        <v>730</v>
      </c>
      <c r="J12" s="31">
        <v>750</v>
      </c>
      <c r="K12" s="31">
        <v>760</v>
      </c>
      <c r="L12" s="31">
        <v>770</v>
      </c>
      <c r="M12" s="31">
        <v>780</v>
      </c>
      <c r="N12" s="31">
        <v>785</v>
      </c>
      <c r="O12" s="31">
        <v>790</v>
      </c>
      <c r="P12" s="31">
        <v>800</v>
      </c>
      <c r="Q12" s="31">
        <v>806</v>
      </c>
      <c r="R12" s="31">
        <v>810</v>
      </c>
      <c r="S12" s="31">
        <v>820</v>
      </c>
      <c r="T12" s="31">
        <v>830</v>
      </c>
      <c r="U12" s="31">
        <v>840</v>
      </c>
      <c r="V12" s="31">
        <v>860</v>
      </c>
      <c r="W12" s="31">
        <v>880</v>
      </c>
      <c r="X12" s="31">
        <v>890</v>
      </c>
    </row>
    <row r="13" spans="1:24" s="30" customFormat="1" ht="12.75">
      <c r="A13" s="27" t="s">
        <v>61</v>
      </c>
      <c r="B13" s="27" t="s">
        <v>62</v>
      </c>
      <c r="C13" s="14">
        <v>84</v>
      </c>
      <c r="D13" s="14">
        <v>147</v>
      </c>
      <c r="E13" s="14">
        <v>145</v>
      </c>
      <c r="F13" s="31">
        <v>150</v>
      </c>
      <c r="G13" s="31">
        <v>155</v>
      </c>
      <c r="H13" s="31">
        <v>158</v>
      </c>
      <c r="I13" s="31">
        <v>160</v>
      </c>
      <c r="J13" s="31">
        <v>162</v>
      </c>
      <c r="K13" s="31">
        <v>165</v>
      </c>
      <c r="L13" s="31">
        <v>170</v>
      </c>
      <c r="M13" s="31">
        <v>180</v>
      </c>
      <c r="N13" s="31">
        <v>183</v>
      </c>
      <c r="O13" s="31">
        <v>190</v>
      </c>
      <c r="P13" s="31">
        <v>195</v>
      </c>
      <c r="Q13" s="31">
        <v>198</v>
      </c>
      <c r="R13" s="31">
        <v>206</v>
      </c>
      <c r="S13" s="31">
        <v>215</v>
      </c>
      <c r="T13" s="31">
        <v>222</v>
      </c>
      <c r="U13" s="31">
        <v>230</v>
      </c>
      <c r="V13" s="31">
        <v>240</v>
      </c>
      <c r="W13" s="31">
        <v>248</v>
      </c>
      <c r="X13" s="31">
        <v>256</v>
      </c>
    </row>
    <row r="14" spans="1:24" s="30" customFormat="1" ht="12.75">
      <c r="A14" s="27" t="s">
        <v>63</v>
      </c>
      <c r="B14" s="27" t="s">
        <v>64</v>
      </c>
      <c r="C14" s="14">
        <v>50</v>
      </c>
      <c r="D14" s="14">
        <v>60</v>
      </c>
      <c r="E14" s="14">
        <v>63</v>
      </c>
      <c r="F14" s="31">
        <v>65</v>
      </c>
      <c r="G14" s="31">
        <v>67</v>
      </c>
      <c r="H14" s="31">
        <v>70</v>
      </c>
      <c r="I14" s="31">
        <v>70</v>
      </c>
      <c r="J14" s="31">
        <v>72</v>
      </c>
      <c r="K14" s="31">
        <v>75</v>
      </c>
      <c r="L14" s="31">
        <v>78</v>
      </c>
      <c r="M14" s="31">
        <v>85</v>
      </c>
      <c r="N14" s="31">
        <v>88</v>
      </c>
      <c r="O14" s="31">
        <v>92</v>
      </c>
      <c r="P14" s="31">
        <v>98</v>
      </c>
      <c r="Q14" s="31">
        <v>100</v>
      </c>
      <c r="R14" s="31">
        <v>108</v>
      </c>
      <c r="S14" s="31">
        <v>112</v>
      </c>
      <c r="T14" s="31">
        <v>120</v>
      </c>
      <c r="U14" s="31">
        <v>128</v>
      </c>
      <c r="V14" s="31">
        <v>135</v>
      </c>
      <c r="W14" s="31">
        <v>140</v>
      </c>
      <c r="X14" s="31">
        <v>148</v>
      </c>
    </row>
    <row r="15" spans="1:24" s="30" customFormat="1" ht="12.75">
      <c r="A15" s="27" t="s">
        <v>65</v>
      </c>
      <c r="B15" s="27" t="s">
        <v>66</v>
      </c>
      <c r="C15" s="14">
        <v>27</v>
      </c>
      <c r="D15" s="14">
        <v>30</v>
      </c>
      <c r="E15" s="14">
        <v>38</v>
      </c>
      <c r="F15" s="31">
        <v>40</v>
      </c>
      <c r="G15" s="31">
        <v>45</v>
      </c>
      <c r="H15" s="31">
        <v>47</v>
      </c>
      <c r="I15" s="31">
        <v>48</v>
      </c>
      <c r="J15" s="31">
        <v>50</v>
      </c>
      <c r="K15" s="31">
        <v>52</v>
      </c>
      <c r="L15" s="31">
        <v>55</v>
      </c>
      <c r="M15" s="31">
        <v>60</v>
      </c>
      <c r="N15" s="31">
        <v>63</v>
      </c>
      <c r="O15" s="31">
        <v>67</v>
      </c>
      <c r="P15" s="31">
        <v>72</v>
      </c>
      <c r="Q15" s="31">
        <v>75</v>
      </c>
      <c r="R15" s="31">
        <v>82</v>
      </c>
      <c r="S15" s="31">
        <v>88</v>
      </c>
      <c r="T15" s="31">
        <v>92</v>
      </c>
      <c r="U15" s="31">
        <v>98</v>
      </c>
      <c r="V15" s="31">
        <v>106</v>
      </c>
      <c r="W15" s="31">
        <v>120</v>
      </c>
      <c r="X15" s="31">
        <v>128</v>
      </c>
    </row>
    <row r="16" spans="1:24" s="30" customFormat="1" ht="12.75">
      <c r="A16" s="27" t="s">
        <v>67</v>
      </c>
      <c r="B16" s="27" t="s">
        <v>68</v>
      </c>
      <c r="C16" s="14">
        <v>128</v>
      </c>
      <c r="D16" s="14">
        <v>176</v>
      </c>
      <c r="E16" s="14">
        <v>183</v>
      </c>
      <c r="F16" s="31">
        <v>185</v>
      </c>
      <c r="G16" s="31">
        <v>188</v>
      </c>
      <c r="H16" s="31">
        <v>190</v>
      </c>
      <c r="I16" s="31">
        <v>192</v>
      </c>
      <c r="J16" s="31">
        <v>195</v>
      </c>
      <c r="K16" s="31">
        <v>198</v>
      </c>
      <c r="L16" s="31">
        <v>200</v>
      </c>
      <c r="M16" s="31">
        <v>215</v>
      </c>
      <c r="N16" s="31">
        <v>220</v>
      </c>
      <c r="O16" s="31">
        <v>225</v>
      </c>
      <c r="P16" s="31">
        <v>230</v>
      </c>
      <c r="Q16" s="31">
        <v>235</v>
      </c>
      <c r="R16" s="31">
        <v>240</v>
      </c>
      <c r="S16" s="31">
        <v>245</v>
      </c>
      <c r="T16" s="31">
        <v>252</v>
      </c>
      <c r="U16" s="31">
        <v>256</v>
      </c>
      <c r="V16" s="31">
        <v>260</v>
      </c>
      <c r="W16" s="31">
        <v>265</v>
      </c>
      <c r="X16" s="31">
        <v>272</v>
      </c>
    </row>
    <row r="17" spans="1:24" s="30" customFormat="1" ht="12.75">
      <c r="A17" s="27" t="s">
        <v>69</v>
      </c>
      <c r="B17" s="27" t="s">
        <v>70</v>
      </c>
      <c r="C17" s="14">
        <v>612.174</v>
      </c>
      <c r="D17" s="14">
        <v>390</v>
      </c>
      <c r="E17" s="14">
        <v>402</v>
      </c>
      <c r="F17" s="31">
        <v>405</v>
      </c>
      <c r="G17" s="31">
        <v>410</v>
      </c>
      <c r="H17" s="31">
        <v>420</v>
      </c>
      <c r="I17" s="31">
        <v>435</v>
      </c>
      <c r="J17" s="31">
        <v>438</v>
      </c>
      <c r="K17" s="31">
        <v>440</v>
      </c>
      <c r="L17" s="31">
        <v>445</v>
      </c>
      <c r="M17" s="31">
        <v>450</v>
      </c>
      <c r="N17" s="31">
        <v>455</v>
      </c>
      <c r="O17" s="31">
        <v>460</v>
      </c>
      <c r="P17" s="31">
        <v>465</v>
      </c>
      <c r="Q17" s="31">
        <v>470</v>
      </c>
      <c r="R17" s="31">
        <v>478</v>
      </c>
      <c r="S17" s="31">
        <v>486</v>
      </c>
      <c r="T17" s="31">
        <v>492</v>
      </c>
      <c r="U17" s="31">
        <v>500</v>
      </c>
      <c r="V17" s="31">
        <v>510</v>
      </c>
      <c r="W17" s="31">
        <v>515</v>
      </c>
      <c r="X17" s="31">
        <v>522</v>
      </c>
    </row>
    <row r="18" spans="1:24" s="30" customFormat="1" ht="12.75">
      <c r="A18" s="27" t="s">
        <v>71</v>
      </c>
      <c r="B18" s="27" t="s">
        <v>72</v>
      </c>
      <c r="C18" s="14">
        <v>0</v>
      </c>
      <c r="D18" s="14">
        <v>106</v>
      </c>
      <c r="E18" s="14">
        <v>108</v>
      </c>
      <c r="F18" s="31">
        <v>110</v>
      </c>
      <c r="G18" s="31">
        <v>115</v>
      </c>
      <c r="H18" s="31">
        <v>118</v>
      </c>
      <c r="I18" s="31">
        <v>120</v>
      </c>
      <c r="J18" s="31">
        <v>125</v>
      </c>
      <c r="K18" s="31">
        <v>128</v>
      </c>
      <c r="L18" s="31">
        <v>130</v>
      </c>
      <c r="M18" s="31">
        <v>135</v>
      </c>
      <c r="N18" s="31">
        <v>140</v>
      </c>
      <c r="O18" s="31">
        <v>145</v>
      </c>
      <c r="P18" s="31">
        <v>150</v>
      </c>
      <c r="Q18" s="31">
        <v>157</v>
      </c>
      <c r="R18" s="31">
        <v>162</v>
      </c>
      <c r="S18" s="31">
        <v>170</v>
      </c>
      <c r="T18" s="31">
        <v>177</v>
      </c>
      <c r="U18" s="31">
        <v>182</v>
      </c>
      <c r="V18" s="31">
        <v>195</v>
      </c>
      <c r="W18" s="31">
        <v>200</v>
      </c>
      <c r="X18" s="31">
        <v>211</v>
      </c>
    </row>
    <row r="19" spans="1:24" s="30" customFormat="1" ht="12.75">
      <c r="A19" s="27" t="s">
        <v>73</v>
      </c>
      <c r="B19" s="27" t="s">
        <v>74</v>
      </c>
      <c r="C19" s="14">
        <v>72</v>
      </c>
      <c r="D19" s="14">
        <v>82</v>
      </c>
      <c r="E19" s="14">
        <v>82</v>
      </c>
      <c r="F19" s="31">
        <v>85</v>
      </c>
      <c r="G19" s="31">
        <v>88</v>
      </c>
      <c r="H19" s="31">
        <v>83</v>
      </c>
      <c r="I19" s="31">
        <v>85</v>
      </c>
      <c r="J19" s="31">
        <v>88</v>
      </c>
      <c r="K19" s="31">
        <v>90</v>
      </c>
      <c r="L19" s="31">
        <v>94</v>
      </c>
      <c r="M19" s="31">
        <v>98</v>
      </c>
      <c r="N19" s="31">
        <v>100</v>
      </c>
      <c r="O19" s="31">
        <v>105</v>
      </c>
      <c r="P19" s="31">
        <v>109</v>
      </c>
      <c r="Q19" s="31">
        <v>118</v>
      </c>
      <c r="R19" s="31">
        <v>126</v>
      </c>
      <c r="S19" s="31">
        <v>135</v>
      </c>
      <c r="T19" s="31">
        <v>139</v>
      </c>
      <c r="U19" s="31">
        <v>146</v>
      </c>
      <c r="V19" s="31">
        <v>156</v>
      </c>
      <c r="W19" s="31">
        <v>162</v>
      </c>
      <c r="X19" s="31">
        <v>170</v>
      </c>
    </row>
    <row r="20" spans="1:24" s="30" customFormat="1" ht="12.75">
      <c r="A20" s="27" t="s">
        <v>75</v>
      </c>
      <c r="B20" s="33" t="s">
        <v>76</v>
      </c>
      <c r="C20" s="14">
        <v>0</v>
      </c>
      <c r="D20" s="14">
        <v>445</v>
      </c>
      <c r="E20" s="14">
        <v>420</v>
      </c>
      <c r="F20" s="31">
        <v>430</v>
      </c>
      <c r="G20" s="31">
        <v>440</v>
      </c>
      <c r="H20" s="31">
        <v>442</v>
      </c>
      <c r="I20" s="31">
        <v>445</v>
      </c>
      <c r="J20" s="31">
        <v>448</v>
      </c>
      <c r="K20" s="31">
        <v>450</v>
      </c>
      <c r="L20" s="31">
        <v>455</v>
      </c>
      <c r="M20" s="31">
        <v>458</v>
      </c>
      <c r="N20" s="31">
        <v>462</v>
      </c>
      <c r="O20" s="31">
        <v>466</v>
      </c>
      <c r="P20" s="31">
        <v>472</v>
      </c>
      <c r="Q20" s="31">
        <v>478</v>
      </c>
      <c r="R20" s="31">
        <v>484</v>
      </c>
      <c r="S20" s="31">
        <v>490</v>
      </c>
      <c r="T20" s="31">
        <v>497</v>
      </c>
      <c r="U20" s="31">
        <v>506</v>
      </c>
      <c r="V20" s="31">
        <v>514</v>
      </c>
      <c r="W20" s="31">
        <v>520</v>
      </c>
      <c r="X20" s="31">
        <v>528</v>
      </c>
    </row>
    <row r="21" spans="1:24" s="30" customFormat="1" ht="12.75">
      <c r="A21" s="27" t="s">
        <v>77</v>
      </c>
      <c r="B21" s="27" t="s">
        <v>78</v>
      </c>
      <c r="C21" s="14">
        <v>65</v>
      </c>
      <c r="D21" s="14">
        <v>144</v>
      </c>
      <c r="E21" s="14">
        <v>125</v>
      </c>
      <c r="F21" s="31">
        <v>130</v>
      </c>
      <c r="G21" s="31">
        <v>130</v>
      </c>
      <c r="H21" s="31">
        <v>133</v>
      </c>
      <c r="I21" s="31">
        <v>135</v>
      </c>
      <c r="J21" s="31">
        <v>138</v>
      </c>
      <c r="K21" s="31">
        <v>140</v>
      </c>
      <c r="L21" s="31">
        <v>145</v>
      </c>
      <c r="M21" s="31">
        <v>150</v>
      </c>
      <c r="N21" s="31">
        <v>154</v>
      </c>
      <c r="O21" s="31">
        <v>159</v>
      </c>
      <c r="P21" s="31">
        <v>165</v>
      </c>
      <c r="Q21" s="31">
        <v>170</v>
      </c>
      <c r="R21" s="31">
        <v>176</v>
      </c>
      <c r="S21" s="31">
        <v>182</v>
      </c>
      <c r="T21" s="31">
        <v>190</v>
      </c>
      <c r="U21" s="31">
        <v>198</v>
      </c>
      <c r="V21" s="31">
        <v>206</v>
      </c>
      <c r="W21" s="31">
        <v>220</v>
      </c>
      <c r="X21" s="31">
        <v>226</v>
      </c>
    </row>
    <row r="22" spans="1:24" s="30" customFormat="1" ht="12.75">
      <c r="A22" s="27" t="s">
        <v>79</v>
      </c>
      <c r="B22" s="27" t="s">
        <v>80</v>
      </c>
      <c r="C22" s="14">
        <v>195</v>
      </c>
      <c r="D22" s="14">
        <v>124</v>
      </c>
      <c r="E22" s="14">
        <v>110</v>
      </c>
      <c r="F22" s="31">
        <v>115</v>
      </c>
      <c r="G22" s="31">
        <v>118</v>
      </c>
      <c r="H22" s="31">
        <v>119</v>
      </c>
      <c r="I22" s="31">
        <v>120</v>
      </c>
      <c r="J22" s="31">
        <v>123</v>
      </c>
      <c r="K22" s="31">
        <v>125</v>
      </c>
      <c r="L22" s="31">
        <v>128</v>
      </c>
      <c r="M22" s="31">
        <v>133</v>
      </c>
      <c r="N22" s="31">
        <v>138</v>
      </c>
      <c r="O22" s="31">
        <v>144</v>
      </c>
      <c r="P22" s="31">
        <v>150</v>
      </c>
      <c r="Q22" s="31">
        <v>157</v>
      </c>
      <c r="R22" s="31">
        <v>165</v>
      </c>
      <c r="S22" s="31">
        <v>170</v>
      </c>
      <c r="T22" s="31">
        <v>178</v>
      </c>
      <c r="U22" s="31">
        <v>186</v>
      </c>
      <c r="V22" s="31">
        <v>195</v>
      </c>
      <c r="W22" s="31">
        <v>206</v>
      </c>
      <c r="X22" s="31">
        <v>214</v>
      </c>
    </row>
    <row r="23" spans="1:24" ht="12.75">
      <c r="A23" s="34" t="s">
        <v>81</v>
      </c>
      <c r="B23" s="34" t="s">
        <v>82</v>
      </c>
      <c r="C23" s="8">
        <f>SUM(C24:C39)</f>
        <v>2061</v>
      </c>
      <c r="D23" s="8">
        <f>SUM(D24:D39)</f>
        <v>12829</v>
      </c>
      <c r="E23" s="8">
        <f>SUM(E24:E39)</f>
        <v>12585</v>
      </c>
      <c r="F23" s="26">
        <f>SUM(F24:F39)</f>
        <v>12705</v>
      </c>
      <c r="G23" s="26">
        <f aca="true" t="shared" si="1" ref="G23:X23">SUM(G24:G39)</f>
        <v>12797</v>
      </c>
      <c r="H23" s="26">
        <f t="shared" si="1"/>
        <v>12953</v>
      </c>
      <c r="I23" s="26">
        <f t="shared" si="1"/>
        <v>13071</v>
      </c>
      <c r="J23" s="26">
        <f t="shared" si="1"/>
        <v>13621</v>
      </c>
      <c r="K23" s="26">
        <f t="shared" si="1"/>
        <v>13782</v>
      </c>
      <c r="L23" s="26">
        <f t="shared" si="1"/>
        <v>13915</v>
      </c>
      <c r="M23" s="26">
        <f t="shared" si="1"/>
        <v>14087</v>
      </c>
      <c r="N23" s="26">
        <f t="shared" si="1"/>
        <v>14233</v>
      </c>
      <c r="O23" s="26">
        <f t="shared" si="1"/>
        <v>14443</v>
      </c>
      <c r="P23" s="26">
        <f t="shared" si="1"/>
        <v>14652</v>
      </c>
      <c r="Q23" s="26">
        <f t="shared" si="1"/>
        <v>14810</v>
      </c>
      <c r="R23" s="26">
        <f t="shared" si="1"/>
        <v>14948</v>
      </c>
      <c r="S23" s="26">
        <f t="shared" si="1"/>
        <v>15098</v>
      </c>
      <c r="T23" s="26">
        <f t="shared" si="1"/>
        <v>15259</v>
      </c>
      <c r="U23" s="26">
        <f t="shared" si="1"/>
        <v>15412</v>
      </c>
      <c r="V23" s="26">
        <f t="shared" si="1"/>
        <v>15564</v>
      </c>
      <c r="W23" s="26">
        <f t="shared" si="1"/>
        <v>15758</v>
      </c>
      <c r="X23" s="26">
        <f t="shared" si="1"/>
        <v>15892</v>
      </c>
    </row>
    <row r="24" spans="1:24" s="30" customFormat="1" ht="12.75">
      <c r="A24" s="33" t="s">
        <v>3</v>
      </c>
      <c r="B24" s="33" t="s">
        <v>83</v>
      </c>
      <c r="C24" s="14">
        <v>64</v>
      </c>
      <c r="D24" s="14">
        <v>17</v>
      </c>
      <c r="E24" s="14">
        <v>18</v>
      </c>
      <c r="F24" s="29">
        <v>20</v>
      </c>
      <c r="G24" s="29">
        <v>20</v>
      </c>
      <c r="H24" s="29">
        <v>22</v>
      </c>
      <c r="I24" s="29">
        <v>23</v>
      </c>
      <c r="J24" s="29">
        <v>24</v>
      </c>
      <c r="K24" s="29">
        <v>25</v>
      </c>
      <c r="L24" s="29">
        <v>27</v>
      </c>
      <c r="M24" s="29">
        <v>29</v>
      </c>
      <c r="N24" s="29">
        <v>30</v>
      </c>
      <c r="O24" s="29">
        <v>32</v>
      </c>
      <c r="P24" s="29">
        <v>33</v>
      </c>
      <c r="Q24" s="29">
        <v>34</v>
      </c>
      <c r="R24" s="29">
        <v>38</v>
      </c>
      <c r="S24" s="29">
        <v>40</v>
      </c>
      <c r="T24" s="29">
        <v>40</v>
      </c>
      <c r="U24" s="29">
        <v>41</v>
      </c>
      <c r="V24" s="29">
        <v>42</v>
      </c>
      <c r="W24" s="29">
        <v>43</v>
      </c>
      <c r="X24" s="29">
        <v>44</v>
      </c>
    </row>
    <row r="25" spans="1:24" s="35" customFormat="1" ht="12.75">
      <c r="A25" s="33" t="s">
        <v>43</v>
      </c>
      <c r="B25" s="33" t="s">
        <v>84</v>
      </c>
      <c r="C25" s="14">
        <v>127</v>
      </c>
      <c r="D25" s="14">
        <v>147</v>
      </c>
      <c r="E25" s="14">
        <v>126</v>
      </c>
      <c r="F25" s="29">
        <v>130</v>
      </c>
      <c r="G25" s="29">
        <v>132</v>
      </c>
      <c r="H25" s="29">
        <v>135</v>
      </c>
      <c r="I25" s="29">
        <v>140</v>
      </c>
      <c r="J25" s="29">
        <v>144</v>
      </c>
      <c r="K25" s="29">
        <v>148</v>
      </c>
      <c r="L25" s="29">
        <v>151</v>
      </c>
      <c r="M25" s="29">
        <v>155</v>
      </c>
      <c r="N25" s="29">
        <v>160</v>
      </c>
      <c r="O25" s="29">
        <v>165</v>
      </c>
      <c r="P25" s="29">
        <v>170</v>
      </c>
      <c r="Q25" s="29">
        <v>177</v>
      </c>
      <c r="R25" s="29">
        <v>185</v>
      </c>
      <c r="S25" s="29">
        <v>192</v>
      </c>
      <c r="T25" s="29">
        <v>199</v>
      </c>
      <c r="U25" s="29">
        <v>205</v>
      </c>
      <c r="V25" s="29">
        <v>210</v>
      </c>
      <c r="W25" s="29">
        <v>215</v>
      </c>
      <c r="X25" s="29">
        <v>220</v>
      </c>
    </row>
    <row r="26" spans="1:24" s="36" customFormat="1" ht="12.75">
      <c r="A26" s="33" t="s">
        <v>53</v>
      </c>
      <c r="B26" s="33" t="s">
        <v>85</v>
      </c>
      <c r="C26" s="14">
        <v>0</v>
      </c>
      <c r="D26" s="14">
        <v>148</v>
      </c>
      <c r="E26" s="14">
        <v>26</v>
      </c>
      <c r="F26" s="29">
        <v>30</v>
      </c>
      <c r="G26" s="29">
        <v>30</v>
      </c>
      <c r="H26" s="29">
        <v>32</v>
      </c>
      <c r="I26" s="29">
        <v>35</v>
      </c>
      <c r="J26" s="29">
        <v>38</v>
      </c>
      <c r="K26" s="29">
        <v>40</v>
      </c>
      <c r="L26" s="29">
        <v>43</v>
      </c>
      <c r="M26" s="29">
        <v>45</v>
      </c>
      <c r="N26" s="29">
        <v>48</v>
      </c>
      <c r="O26" s="29">
        <v>55</v>
      </c>
      <c r="P26" s="29">
        <v>60</v>
      </c>
      <c r="Q26" s="29">
        <v>66</v>
      </c>
      <c r="R26" s="29">
        <v>74</v>
      </c>
      <c r="S26" s="29">
        <v>80</v>
      </c>
      <c r="T26" s="29">
        <v>87</v>
      </c>
      <c r="U26" s="29">
        <v>95</v>
      </c>
      <c r="V26" s="29">
        <v>100</v>
      </c>
      <c r="W26" s="29">
        <v>108</v>
      </c>
      <c r="X26" s="29">
        <v>116</v>
      </c>
    </row>
    <row r="27" spans="1:24" s="30" customFormat="1" ht="12.75">
      <c r="A27" s="33" t="s">
        <v>55</v>
      </c>
      <c r="B27" s="33" t="s">
        <v>86</v>
      </c>
      <c r="C27" s="14">
        <v>90</v>
      </c>
      <c r="D27" s="14">
        <v>98</v>
      </c>
      <c r="E27" s="14">
        <v>82</v>
      </c>
      <c r="F27" s="29">
        <v>85</v>
      </c>
      <c r="G27" s="29">
        <v>87</v>
      </c>
      <c r="H27" s="29">
        <v>88</v>
      </c>
      <c r="I27" s="29">
        <v>90</v>
      </c>
      <c r="J27" s="29">
        <v>92</v>
      </c>
      <c r="K27" s="29">
        <v>95</v>
      </c>
      <c r="L27" s="29">
        <v>97</v>
      </c>
      <c r="M27" s="29">
        <v>100</v>
      </c>
      <c r="N27" s="29">
        <v>103</v>
      </c>
      <c r="O27" s="29">
        <v>107</v>
      </c>
      <c r="P27" s="29">
        <v>115</v>
      </c>
      <c r="Q27" s="29">
        <v>121</v>
      </c>
      <c r="R27" s="29">
        <v>126</v>
      </c>
      <c r="S27" s="29">
        <v>135</v>
      </c>
      <c r="T27" s="29">
        <v>142</v>
      </c>
      <c r="U27" s="29">
        <v>149</v>
      </c>
      <c r="V27" s="29">
        <v>154</v>
      </c>
      <c r="W27" s="29">
        <v>160</v>
      </c>
      <c r="X27" s="29">
        <v>166</v>
      </c>
    </row>
    <row r="28" spans="1:24" s="30" customFormat="1" ht="12.75">
      <c r="A28" s="33" t="s">
        <v>57</v>
      </c>
      <c r="B28" s="33" t="s">
        <v>87</v>
      </c>
      <c r="C28" s="14">
        <v>0</v>
      </c>
      <c r="D28" s="14">
        <v>6311</v>
      </c>
      <c r="E28" s="14">
        <v>6340</v>
      </c>
      <c r="F28" s="29">
        <v>6360</v>
      </c>
      <c r="G28" s="29">
        <v>6420</v>
      </c>
      <c r="H28" s="29">
        <v>6500</v>
      </c>
      <c r="I28" s="29">
        <v>6530</v>
      </c>
      <c r="J28" s="29">
        <v>6580</v>
      </c>
      <c r="K28" s="29">
        <v>6640</v>
      </c>
      <c r="L28" s="29">
        <v>6660</v>
      </c>
      <c r="M28" s="29">
        <v>6720</v>
      </c>
      <c r="N28" s="29">
        <v>6750</v>
      </c>
      <c r="O28" s="29">
        <v>6800</v>
      </c>
      <c r="P28" s="29">
        <v>6860</v>
      </c>
      <c r="Q28" s="29">
        <v>6900</v>
      </c>
      <c r="R28" s="29">
        <v>6940</v>
      </c>
      <c r="S28" s="29">
        <v>6970</v>
      </c>
      <c r="T28" s="29">
        <v>7000</v>
      </c>
      <c r="U28" s="29">
        <v>7030</v>
      </c>
      <c r="V28" s="29">
        <v>7060</v>
      </c>
      <c r="W28" s="29">
        <v>7130</v>
      </c>
      <c r="X28" s="29">
        <v>7150</v>
      </c>
    </row>
    <row r="29" spans="1:24" s="30" customFormat="1" ht="12.75">
      <c r="A29" s="33" t="s">
        <v>59</v>
      </c>
      <c r="B29" s="33" t="s">
        <v>88</v>
      </c>
      <c r="C29" s="14">
        <v>0</v>
      </c>
      <c r="D29" s="14">
        <v>1821</v>
      </c>
      <c r="E29" s="14">
        <v>1820</v>
      </c>
      <c r="F29" s="29">
        <v>1830</v>
      </c>
      <c r="G29" s="29">
        <v>1850</v>
      </c>
      <c r="H29" s="29">
        <v>1880</v>
      </c>
      <c r="I29" s="29">
        <v>1900</v>
      </c>
      <c r="J29" s="29">
        <v>1910</v>
      </c>
      <c r="K29" s="29">
        <v>1930</v>
      </c>
      <c r="L29" s="29">
        <v>1950</v>
      </c>
      <c r="M29" s="29">
        <v>1980</v>
      </c>
      <c r="N29" s="29">
        <v>2000</v>
      </c>
      <c r="O29" s="29">
        <v>2025</v>
      </c>
      <c r="P29" s="29">
        <v>2055</v>
      </c>
      <c r="Q29" s="29">
        <v>2070</v>
      </c>
      <c r="R29" s="29">
        <v>2080</v>
      </c>
      <c r="S29" s="29">
        <v>2110</v>
      </c>
      <c r="T29" s="29">
        <v>2120</v>
      </c>
      <c r="U29" s="29">
        <v>2135</v>
      </c>
      <c r="V29" s="29">
        <v>2150</v>
      </c>
      <c r="W29" s="29">
        <v>2180</v>
      </c>
      <c r="X29" s="29">
        <v>2200</v>
      </c>
    </row>
    <row r="30" spans="1:24" s="30" customFormat="1" ht="12.75">
      <c r="A30" s="33" t="s">
        <v>61</v>
      </c>
      <c r="B30" s="33" t="s">
        <v>89</v>
      </c>
      <c r="C30" s="14">
        <v>0</v>
      </c>
      <c r="D30" s="14">
        <v>1972</v>
      </c>
      <c r="E30" s="14">
        <v>1970</v>
      </c>
      <c r="F30" s="29">
        <v>1980</v>
      </c>
      <c r="G30" s="29">
        <v>1980</v>
      </c>
      <c r="H30" s="29">
        <v>1990</v>
      </c>
      <c r="I30" s="29">
        <v>2000</v>
      </c>
      <c r="J30" s="29">
        <v>2010</v>
      </c>
      <c r="K30" s="29">
        <v>2030</v>
      </c>
      <c r="L30" s="29">
        <v>2050</v>
      </c>
      <c r="M30" s="29">
        <v>2080</v>
      </c>
      <c r="N30" s="29">
        <v>2120</v>
      </c>
      <c r="O30" s="29">
        <v>2170</v>
      </c>
      <c r="P30" s="29">
        <v>2200</v>
      </c>
      <c r="Q30" s="29">
        <v>2220</v>
      </c>
      <c r="R30" s="29">
        <v>2230</v>
      </c>
      <c r="S30" s="29">
        <v>2240</v>
      </c>
      <c r="T30" s="29">
        <v>2255</v>
      </c>
      <c r="U30" s="29">
        <v>2265</v>
      </c>
      <c r="V30" s="29">
        <v>2280</v>
      </c>
      <c r="W30" s="29">
        <v>2290</v>
      </c>
      <c r="X30" s="29">
        <v>2300</v>
      </c>
    </row>
    <row r="31" spans="1:24" s="30" customFormat="1" ht="12.75">
      <c r="A31" s="33" t="s">
        <v>63</v>
      </c>
      <c r="B31" s="33" t="s">
        <v>90</v>
      </c>
      <c r="C31" s="14">
        <v>0</v>
      </c>
      <c r="D31" s="14">
        <v>436</v>
      </c>
      <c r="E31" s="14">
        <v>440</v>
      </c>
      <c r="F31" s="29">
        <v>450</v>
      </c>
      <c r="G31" s="29">
        <v>450</v>
      </c>
      <c r="H31" s="29">
        <v>455</v>
      </c>
      <c r="I31" s="29">
        <v>460</v>
      </c>
      <c r="J31" s="29">
        <v>468</v>
      </c>
      <c r="K31" s="29">
        <v>475</v>
      </c>
      <c r="L31" s="29">
        <v>490</v>
      </c>
      <c r="M31" s="29">
        <v>495</v>
      </c>
      <c r="N31" s="29">
        <v>500</v>
      </c>
      <c r="O31" s="29">
        <v>505</v>
      </c>
      <c r="P31" s="29">
        <v>515</v>
      </c>
      <c r="Q31" s="29">
        <v>520</v>
      </c>
      <c r="R31" s="29">
        <v>525</v>
      </c>
      <c r="S31" s="29">
        <v>530</v>
      </c>
      <c r="T31" s="29">
        <v>545</v>
      </c>
      <c r="U31" s="29">
        <v>560</v>
      </c>
      <c r="V31" s="29">
        <v>580</v>
      </c>
      <c r="W31" s="29">
        <v>590</v>
      </c>
      <c r="X31" s="29">
        <v>600</v>
      </c>
    </row>
    <row r="32" spans="1:24" s="30" customFormat="1" ht="12.75">
      <c r="A32" s="33" t="s">
        <v>65</v>
      </c>
      <c r="B32" s="33" t="s">
        <v>91</v>
      </c>
      <c r="C32" s="14">
        <v>111</v>
      </c>
      <c r="D32" s="14">
        <v>202</v>
      </c>
      <c r="E32" s="14">
        <v>130</v>
      </c>
      <c r="F32" s="29">
        <v>140</v>
      </c>
      <c r="G32" s="29">
        <v>130</v>
      </c>
      <c r="H32" s="29">
        <v>132</v>
      </c>
      <c r="I32" s="29">
        <v>135</v>
      </c>
      <c r="J32" s="29">
        <v>138</v>
      </c>
      <c r="K32" s="29">
        <v>140</v>
      </c>
      <c r="L32" s="29">
        <v>145</v>
      </c>
      <c r="M32" s="29">
        <v>150</v>
      </c>
      <c r="N32" s="29">
        <v>155</v>
      </c>
      <c r="O32" s="29">
        <v>160</v>
      </c>
      <c r="P32" s="29">
        <v>167</v>
      </c>
      <c r="Q32" s="29">
        <v>175</v>
      </c>
      <c r="R32" s="29">
        <v>180</v>
      </c>
      <c r="S32" s="29">
        <v>183</v>
      </c>
      <c r="T32" s="29">
        <v>192</v>
      </c>
      <c r="U32" s="29">
        <v>199</v>
      </c>
      <c r="V32" s="29">
        <v>206</v>
      </c>
      <c r="W32" s="29">
        <v>216</v>
      </c>
      <c r="X32" s="29">
        <v>220</v>
      </c>
    </row>
    <row r="33" spans="1:24" s="30" customFormat="1" ht="12.75">
      <c r="A33" s="33" t="s">
        <v>67</v>
      </c>
      <c r="B33" s="33" t="s">
        <v>92</v>
      </c>
      <c r="C33" s="14">
        <v>334</v>
      </c>
      <c r="D33" s="14">
        <v>42</v>
      </c>
      <c r="E33" s="14">
        <v>40</v>
      </c>
      <c r="F33" s="29">
        <v>45</v>
      </c>
      <c r="G33" s="29">
        <v>48</v>
      </c>
      <c r="H33" s="29">
        <v>50</v>
      </c>
      <c r="I33" s="29">
        <v>52</v>
      </c>
      <c r="J33" s="29">
        <v>55</v>
      </c>
      <c r="K33" s="29">
        <v>58</v>
      </c>
      <c r="L33" s="29">
        <v>65</v>
      </c>
      <c r="M33" s="29">
        <v>68</v>
      </c>
      <c r="N33" s="29">
        <v>72</v>
      </c>
      <c r="O33" s="29">
        <v>75</v>
      </c>
      <c r="P33" s="29">
        <v>80</v>
      </c>
      <c r="Q33" s="29">
        <v>87</v>
      </c>
      <c r="R33" s="29">
        <v>92</v>
      </c>
      <c r="S33" s="29">
        <v>95</v>
      </c>
      <c r="T33" s="29">
        <v>102</v>
      </c>
      <c r="U33" s="29">
        <v>110</v>
      </c>
      <c r="V33" s="29">
        <v>116</v>
      </c>
      <c r="W33" s="29">
        <v>122</v>
      </c>
      <c r="X33" s="29">
        <v>130</v>
      </c>
    </row>
    <row r="34" spans="1:24" s="30" customFormat="1" ht="12.75">
      <c r="A34" s="33" t="s">
        <v>69</v>
      </c>
      <c r="B34" s="33" t="s">
        <v>93</v>
      </c>
      <c r="C34" s="14">
        <v>152</v>
      </c>
      <c r="D34" s="14">
        <v>48</v>
      </c>
      <c r="E34" s="14">
        <v>35</v>
      </c>
      <c r="F34" s="29">
        <v>40</v>
      </c>
      <c r="G34" s="29">
        <v>40</v>
      </c>
      <c r="H34" s="29">
        <v>42</v>
      </c>
      <c r="I34" s="29">
        <v>45</v>
      </c>
      <c r="J34" s="29">
        <v>480</v>
      </c>
      <c r="K34" s="29">
        <v>483</v>
      </c>
      <c r="L34" s="29">
        <v>490</v>
      </c>
      <c r="M34" s="29">
        <v>495</v>
      </c>
      <c r="N34" s="29">
        <v>500</v>
      </c>
      <c r="O34" s="29">
        <v>515</v>
      </c>
      <c r="P34" s="29">
        <v>525</v>
      </c>
      <c r="Q34" s="29">
        <v>532</v>
      </c>
      <c r="R34" s="29">
        <v>538</v>
      </c>
      <c r="S34" s="29">
        <v>540</v>
      </c>
      <c r="T34" s="29">
        <v>555</v>
      </c>
      <c r="U34" s="29">
        <v>565</v>
      </c>
      <c r="V34" s="29">
        <v>572</v>
      </c>
      <c r="W34" s="29">
        <v>578</v>
      </c>
      <c r="X34" s="29">
        <v>586</v>
      </c>
    </row>
    <row r="35" spans="1:24" s="30" customFormat="1" ht="12.75">
      <c r="A35" s="33" t="s">
        <v>71</v>
      </c>
      <c r="B35" s="33" t="s">
        <v>94</v>
      </c>
      <c r="C35" s="14">
        <v>191</v>
      </c>
      <c r="D35" s="14">
        <v>250</v>
      </c>
      <c r="E35" s="14">
        <v>255</v>
      </c>
      <c r="F35" s="29">
        <v>260</v>
      </c>
      <c r="G35" s="29">
        <v>265</v>
      </c>
      <c r="H35" s="29">
        <v>268</v>
      </c>
      <c r="I35" s="29">
        <v>270</v>
      </c>
      <c r="J35" s="29">
        <v>275</v>
      </c>
      <c r="K35" s="29">
        <v>280</v>
      </c>
      <c r="L35" s="29">
        <v>285</v>
      </c>
      <c r="M35" s="29">
        <v>290</v>
      </c>
      <c r="N35" s="29">
        <v>295</v>
      </c>
      <c r="O35" s="29">
        <v>305</v>
      </c>
      <c r="P35" s="29">
        <v>312</v>
      </c>
      <c r="Q35" s="29">
        <v>320</v>
      </c>
      <c r="R35" s="29">
        <v>328</v>
      </c>
      <c r="S35" s="29">
        <v>335</v>
      </c>
      <c r="T35" s="29">
        <v>345</v>
      </c>
      <c r="U35" s="29">
        <v>355</v>
      </c>
      <c r="V35" s="29">
        <v>363</v>
      </c>
      <c r="W35" s="29">
        <v>370</v>
      </c>
      <c r="X35" s="29">
        <v>378</v>
      </c>
    </row>
    <row r="36" spans="1:24" s="30" customFormat="1" ht="12.75">
      <c r="A36" s="33" t="s">
        <v>73</v>
      </c>
      <c r="B36" s="37" t="s">
        <v>95</v>
      </c>
      <c r="C36" s="14">
        <v>402</v>
      </c>
      <c r="D36" s="14">
        <v>336</v>
      </c>
      <c r="E36" s="14">
        <v>310</v>
      </c>
      <c r="F36" s="29">
        <v>320</v>
      </c>
      <c r="G36" s="29">
        <v>322</v>
      </c>
      <c r="H36" s="29">
        <v>324</v>
      </c>
      <c r="I36" s="29">
        <v>326</v>
      </c>
      <c r="J36" s="29">
        <v>328</v>
      </c>
      <c r="K36" s="29">
        <v>338</v>
      </c>
      <c r="L36" s="29">
        <v>345</v>
      </c>
      <c r="M36" s="29">
        <v>350</v>
      </c>
      <c r="N36" s="29">
        <v>355</v>
      </c>
      <c r="O36" s="29">
        <v>362</v>
      </c>
      <c r="P36" s="29">
        <v>370</v>
      </c>
      <c r="Q36" s="29">
        <v>378</v>
      </c>
      <c r="R36" s="29">
        <v>385</v>
      </c>
      <c r="S36" s="29">
        <v>402</v>
      </c>
      <c r="T36" s="29">
        <v>410</v>
      </c>
      <c r="U36" s="29">
        <v>420</v>
      </c>
      <c r="V36" s="29">
        <v>428</v>
      </c>
      <c r="W36" s="29">
        <v>435</v>
      </c>
      <c r="X36" s="29">
        <v>440</v>
      </c>
    </row>
    <row r="37" spans="1:24" s="30" customFormat="1" ht="12.75">
      <c r="A37" s="33" t="s">
        <v>75</v>
      </c>
      <c r="B37" s="33" t="s">
        <v>96</v>
      </c>
      <c r="C37" s="14">
        <v>575</v>
      </c>
      <c r="D37" s="14">
        <v>516</v>
      </c>
      <c r="E37" s="14">
        <v>510</v>
      </c>
      <c r="F37" s="29">
        <v>520</v>
      </c>
      <c r="G37" s="29">
        <v>520</v>
      </c>
      <c r="H37" s="29">
        <v>530</v>
      </c>
      <c r="I37" s="29">
        <v>550</v>
      </c>
      <c r="J37" s="29">
        <v>553</v>
      </c>
      <c r="K37" s="29">
        <v>560</v>
      </c>
      <c r="L37" s="29">
        <v>565</v>
      </c>
      <c r="M37" s="29">
        <v>570</v>
      </c>
      <c r="N37" s="29">
        <v>575</v>
      </c>
      <c r="O37" s="29">
        <v>582</v>
      </c>
      <c r="P37" s="29">
        <v>592</v>
      </c>
      <c r="Q37" s="29">
        <v>600</v>
      </c>
      <c r="R37" s="29">
        <v>605</v>
      </c>
      <c r="S37" s="29">
        <v>612</v>
      </c>
      <c r="T37" s="29">
        <v>620</v>
      </c>
      <c r="U37" s="29">
        <v>625</v>
      </c>
      <c r="V37" s="29">
        <v>630</v>
      </c>
      <c r="W37" s="29">
        <v>635</v>
      </c>
      <c r="X37" s="29">
        <v>642</v>
      </c>
    </row>
    <row r="38" spans="1:24" s="30" customFormat="1" ht="12.75">
      <c r="A38" s="33" t="s">
        <v>77</v>
      </c>
      <c r="B38" s="33" t="s">
        <v>97</v>
      </c>
      <c r="C38" s="14">
        <v>0</v>
      </c>
      <c r="D38" s="14">
        <v>101</v>
      </c>
      <c r="E38" s="14">
        <v>103</v>
      </c>
      <c r="F38" s="29">
        <v>105</v>
      </c>
      <c r="G38" s="29">
        <v>108</v>
      </c>
      <c r="H38" s="29">
        <v>110</v>
      </c>
      <c r="I38" s="29">
        <v>115</v>
      </c>
      <c r="J38" s="29">
        <v>118</v>
      </c>
      <c r="K38" s="29">
        <v>125</v>
      </c>
      <c r="L38" s="29">
        <v>131</v>
      </c>
      <c r="M38" s="29">
        <v>135</v>
      </c>
      <c r="N38" s="29">
        <v>140</v>
      </c>
      <c r="O38" s="29">
        <v>147</v>
      </c>
      <c r="P38" s="29">
        <v>154</v>
      </c>
      <c r="Q38" s="29">
        <v>160</v>
      </c>
      <c r="R38" s="29">
        <v>166</v>
      </c>
      <c r="S38" s="29">
        <v>172</v>
      </c>
      <c r="T38" s="29">
        <v>180</v>
      </c>
      <c r="U38" s="29">
        <v>186</v>
      </c>
      <c r="V38" s="29">
        <v>193</v>
      </c>
      <c r="W38" s="29">
        <v>200</v>
      </c>
      <c r="X38" s="29">
        <v>208</v>
      </c>
    </row>
    <row r="39" spans="1:24" s="30" customFormat="1" ht="12.75">
      <c r="A39" s="33" t="s">
        <v>79</v>
      </c>
      <c r="B39" s="38" t="s">
        <v>98</v>
      </c>
      <c r="C39" s="14">
        <v>15</v>
      </c>
      <c r="D39" s="14">
        <v>384</v>
      </c>
      <c r="E39" s="14">
        <v>380</v>
      </c>
      <c r="F39" s="29">
        <v>390</v>
      </c>
      <c r="G39" s="29">
        <v>395</v>
      </c>
      <c r="H39" s="29">
        <v>395</v>
      </c>
      <c r="I39" s="29">
        <v>400</v>
      </c>
      <c r="J39" s="29">
        <v>408</v>
      </c>
      <c r="K39" s="29">
        <v>415</v>
      </c>
      <c r="L39" s="29">
        <v>421</v>
      </c>
      <c r="M39" s="29">
        <v>425</v>
      </c>
      <c r="N39" s="29">
        <v>430</v>
      </c>
      <c r="O39" s="29">
        <v>438</v>
      </c>
      <c r="P39" s="29">
        <v>444</v>
      </c>
      <c r="Q39" s="29">
        <v>450</v>
      </c>
      <c r="R39" s="29">
        <v>456</v>
      </c>
      <c r="S39" s="29">
        <v>462</v>
      </c>
      <c r="T39" s="29">
        <v>467</v>
      </c>
      <c r="U39" s="29">
        <v>472</v>
      </c>
      <c r="V39" s="29">
        <v>480</v>
      </c>
      <c r="W39" s="29">
        <v>486</v>
      </c>
      <c r="X39" s="29">
        <v>492</v>
      </c>
    </row>
    <row r="40" spans="1:24" ht="12.75">
      <c r="A40" s="34" t="s">
        <v>99</v>
      </c>
      <c r="B40" s="34" t="s">
        <v>100</v>
      </c>
      <c r="C40" s="8">
        <f>C41</f>
        <v>196.1376</v>
      </c>
      <c r="D40" s="8">
        <f>D41</f>
        <v>229</v>
      </c>
      <c r="E40" s="8">
        <f>E41</f>
        <v>225</v>
      </c>
      <c r="F40" s="26">
        <f>F41</f>
        <v>230</v>
      </c>
      <c r="G40" s="26">
        <f aca="true" t="shared" si="2" ref="G40:X40">G41</f>
        <v>232</v>
      </c>
      <c r="H40" s="26">
        <f t="shared" si="2"/>
        <v>233</v>
      </c>
      <c r="I40" s="26">
        <f t="shared" si="2"/>
        <v>235</v>
      </c>
      <c r="J40" s="26">
        <f t="shared" si="2"/>
        <v>238</v>
      </c>
      <c r="K40" s="26">
        <f t="shared" si="2"/>
        <v>242</v>
      </c>
      <c r="L40" s="26">
        <f t="shared" si="2"/>
        <v>245</v>
      </c>
      <c r="M40" s="26">
        <f t="shared" si="2"/>
        <v>248</v>
      </c>
      <c r="N40" s="26">
        <f t="shared" si="2"/>
        <v>252</v>
      </c>
      <c r="O40" s="26">
        <f t="shared" si="2"/>
        <v>255</v>
      </c>
      <c r="P40" s="26">
        <f t="shared" si="2"/>
        <v>258</v>
      </c>
      <c r="Q40" s="26">
        <f t="shared" si="2"/>
        <v>260</v>
      </c>
      <c r="R40" s="26">
        <f t="shared" si="2"/>
        <v>264</v>
      </c>
      <c r="S40" s="26">
        <f t="shared" si="2"/>
        <v>266</v>
      </c>
      <c r="T40" s="26">
        <f t="shared" si="2"/>
        <v>270</v>
      </c>
      <c r="U40" s="26">
        <f t="shared" si="2"/>
        <v>272</v>
      </c>
      <c r="V40" s="26">
        <f t="shared" si="2"/>
        <v>275</v>
      </c>
      <c r="W40" s="26">
        <f t="shared" si="2"/>
        <v>278</v>
      </c>
      <c r="X40" s="26">
        <f t="shared" si="2"/>
        <v>280</v>
      </c>
    </row>
    <row r="41" spans="1:24" s="30" customFormat="1" ht="12.75">
      <c r="A41" s="39" t="s">
        <v>3</v>
      </c>
      <c r="B41" s="33" t="s">
        <v>101</v>
      </c>
      <c r="C41" s="14">
        <v>196.1376</v>
      </c>
      <c r="D41" s="14">
        <v>229</v>
      </c>
      <c r="E41" s="14">
        <v>225</v>
      </c>
      <c r="F41" s="29">
        <v>230</v>
      </c>
      <c r="G41" s="29">
        <v>232</v>
      </c>
      <c r="H41" s="29">
        <v>233</v>
      </c>
      <c r="I41" s="29">
        <v>235</v>
      </c>
      <c r="J41" s="29">
        <v>238</v>
      </c>
      <c r="K41" s="29">
        <v>242</v>
      </c>
      <c r="L41" s="29">
        <v>245</v>
      </c>
      <c r="M41" s="29">
        <v>248</v>
      </c>
      <c r="N41" s="29">
        <v>252</v>
      </c>
      <c r="O41" s="29">
        <v>255</v>
      </c>
      <c r="P41" s="29">
        <v>258</v>
      </c>
      <c r="Q41" s="29">
        <v>260</v>
      </c>
      <c r="R41" s="29">
        <v>264</v>
      </c>
      <c r="S41" s="29">
        <v>266</v>
      </c>
      <c r="T41" s="29">
        <v>270</v>
      </c>
      <c r="U41" s="29">
        <v>272</v>
      </c>
      <c r="V41" s="29">
        <v>275</v>
      </c>
      <c r="W41" s="29">
        <v>278</v>
      </c>
      <c r="X41" s="29">
        <v>280</v>
      </c>
    </row>
    <row r="42" spans="1:24" ht="12.75">
      <c r="A42" s="34" t="s">
        <v>102</v>
      </c>
      <c r="B42" s="34" t="s">
        <v>103</v>
      </c>
      <c r="C42" s="8">
        <f>C43+C44</f>
        <v>21571</v>
      </c>
      <c r="D42" s="8">
        <f>D43+D44</f>
        <v>8434</v>
      </c>
      <c r="E42" s="26">
        <f aca="true" t="shared" si="3" ref="E42:X42">E43+E44</f>
        <v>8310</v>
      </c>
      <c r="F42" s="26">
        <f>F43+F44</f>
        <v>8460</v>
      </c>
      <c r="G42" s="26">
        <f t="shared" si="3"/>
        <v>8490</v>
      </c>
      <c r="H42" s="26">
        <f t="shared" si="3"/>
        <v>8540</v>
      </c>
      <c r="I42" s="26">
        <f t="shared" si="3"/>
        <v>8600</v>
      </c>
      <c r="J42" s="26">
        <f t="shared" si="3"/>
        <v>8690</v>
      </c>
      <c r="K42" s="26">
        <f t="shared" si="3"/>
        <v>8810</v>
      </c>
      <c r="L42" s="26">
        <f t="shared" si="3"/>
        <v>8880</v>
      </c>
      <c r="M42" s="26">
        <f t="shared" si="3"/>
        <v>8955</v>
      </c>
      <c r="N42" s="26">
        <f t="shared" si="3"/>
        <v>9050</v>
      </c>
      <c r="O42" s="26">
        <f t="shared" si="3"/>
        <v>9170</v>
      </c>
      <c r="P42" s="26">
        <f t="shared" si="3"/>
        <v>9270</v>
      </c>
      <c r="Q42" s="26">
        <f t="shared" si="3"/>
        <v>9350</v>
      </c>
      <c r="R42" s="26">
        <f t="shared" si="3"/>
        <v>9420</v>
      </c>
      <c r="S42" s="26">
        <f t="shared" si="3"/>
        <v>9470</v>
      </c>
      <c r="T42" s="26">
        <f t="shared" si="3"/>
        <v>9510</v>
      </c>
      <c r="U42" s="26">
        <f t="shared" si="3"/>
        <v>9575</v>
      </c>
      <c r="V42" s="26">
        <f t="shared" si="3"/>
        <v>9640</v>
      </c>
      <c r="W42" s="26">
        <f t="shared" si="3"/>
        <v>9745</v>
      </c>
      <c r="X42" s="26">
        <f t="shared" si="3"/>
        <v>9740</v>
      </c>
    </row>
    <row r="43" spans="1:24" s="30" customFormat="1" ht="12.75">
      <c r="A43" s="33" t="s">
        <v>3</v>
      </c>
      <c r="B43" s="33" t="s">
        <v>104</v>
      </c>
      <c r="C43" s="14">
        <v>7023</v>
      </c>
      <c r="D43" s="14">
        <v>8121</v>
      </c>
      <c r="E43" s="14">
        <v>8020</v>
      </c>
      <c r="F43" s="29">
        <v>8150</v>
      </c>
      <c r="G43" s="29">
        <v>8170</v>
      </c>
      <c r="H43" s="29">
        <v>8200</v>
      </c>
      <c r="I43" s="29">
        <v>8250</v>
      </c>
      <c r="J43" s="29">
        <v>8330</v>
      </c>
      <c r="K43" s="29">
        <v>8430</v>
      </c>
      <c r="L43" s="29">
        <v>8470</v>
      </c>
      <c r="M43" s="29">
        <v>8530</v>
      </c>
      <c r="N43" s="29">
        <v>8600</v>
      </c>
      <c r="O43" s="29">
        <v>8680</v>
      </c>
      <c r="P43" s="29">
        <v>8740</v>
      </c>
      <c r="Q43" s="29">
        <v>8800</v>
      </c>
      <c r="R43" s="29">
        <v>8840</v>
      </c>
      <c r="S43" s="29">
        <v>8880</v>
      </c>
      <c r="T43" s="29">
        <v>8910</v>
      </c>
      <c r="U43" s="29">
        <v>8950</v>
      </c>
      <c r="V43" s="29">
        <v>8990</v>
      </c>
      <c r="W43" s="29">
        <v>9070</v>
      </c>
      <c r="X43" s="29">
        <v>9050</v>
      </c>
    </row>
    <row r="44" spans="1:24" s="30" customFormat="1" ht="12.75">
      <c r="A44" s="33" t="s">
        <v>43</v>
      </c>
      <c r="B44" s="33" t="s">
        <v>105</v>
      </c>
      <c r="C44" s="14">
        <v>14548</v>
      </c>
      <c r="D44" s="14">
        <v>313</v>
      </c>
      <c r="E44" s="14">
        <v>290</v>
      </c>
      <c r="F44" s="29">
        <v>310</v>
      </c>
      <c r="G44" s="29">
        <v>320</v>
      </c>
      <c r="H44" s="29">
        <v>340</v>
      </c>
      <c r="I44" s="29">
        <v>350</v>
      </c>
      <c r="J44" s="29">
        <v>360</v>
      </c>
      <c r="K44" s="29">
        <v>380</v>
      </c>
      <c r="L44" s="29">
        <v>410</v>
      </c>
      <c r="M44" s="29">
        <v>425</v>
      </c>
      <c r="N44" s="29">
        <v>450</v>
      </c>
      <c r="O44" s="29">
        <v>490</v>
      </c>
      <c r="P44" s="29">
        <v>530</v>
      </c>
      <c r="Q44" s="29">
        <v>550</v>
      </c>
      <c r="R44" s="29">
        <v>580</v>
      </c>
      <c r="S44" s="29">
        <v>590</v>
      </c>
      <c r="T44" s="29">
        <v>600</v>
      </c>
      <c r="U44" s="29">
        <v>625</v>
      </c>
      <c r="V44" s="29">
        <v>650</v>
      </c>
      <c r="W44" s="29">
        <v>675</v>
      </c>
      <c r="X44" s="29">
        <v>690</v>
      </c>
    </row>
    <row r="45" spans="1:24" ht="12.75">
      <c r="A45" s="34" t="s">
        <v>106</v>
      </c>
      <c r="B45" s="34" t="s">
        <v>107</v>
      </c>
      <c r="C45" s="8">
        <f>C46</f>
        <v>1271.22385</v>
      </c>
      <c r="D45" s="8">
        <f>SUM(D46:D48)</f>
        <v>1606</v>
      </c>
      <c r="E45" s="26">
        <f aca="true" t="shared" si="4" ref="E45:X45">SUM(E46:E48)</f>
        <v>1648</v>
      </c>
      <c r="F45" s="26">
        <f>SUM(F46:F48)</f>
        <v>1690.979</v>
      </c>
      <c r="G45" s="26">
        <f t="shared" si="4"/>
        <v>1695.4050000000002</v>
      </c>
      <c r="H45" s="26">
        <f t="shared" si="4"/>
        <v>1701.8</v>
      </c>
      <c r="I45" s="26">
        <f t="shared" si="4"/>
        <v>1712.425</v>
      </c>
      <c r="J45" s="26">
        <f t="shared" si="4"/>
        <v>1670.7350000000001</v>
      </c>
      <c r="K45" s="26">
        <f t="shared" si="4"/>
        <v>1690.985</v>
      </c>
      <c r="L45" s="26">
        <f t="shared" si="4"/>
        <v>1699.265</v>
      </c>
      <c r="M45" s="26">
        <f t="shared" si="4"/>
        <v>1711.335</v>
      </c>
      <c r="N45" s="26">
        <f t="shared" si="4"/>
        <v>1725.5</v>
      </c>
      <c r="O45" s="26">
        <f t="shared" si="4"/>
        <v>1741.86</v>
      </c>
      <c r="P45" s="26">
        <f t="shared" si="4"/>
        <v>1754.13</v>
      </c>
      <c r="Q45" s="26">
        <f t="shared" si="4"/>
        <v>1766.6</v>
      </c>
      <c r="R45" s="26">
        <f t="shared" si="4"/>
        <v>1775.08</v>
      </c>
      <c r="S45" s="26">
        <f t="shared" si="4"/>
        <v>1783.46</v>
      </c>
      <c r="T45" s="26">
        <f t="shared" si="4"/>
        <v>1790.045</v>
      </c>
      <c r="U45" s="26">
        <f t="shared" si="4"/>
        <v>1798.525</v>
      </c>
      <c r="V45" s="26">
        <f t="shared" si="4"/>
        <v>1807.105</v>
      </c>
      <c r="W45" s="26">
        <f t="shared" si="4"/>
        <v>1823.965</v>
      </c>
      <c r="X45" s="26">
        <f t="shared" si="4"/>
        <v>1820.475</v>
      </c>
    </row>
    <row r="46" spans="1:24" s="30" customFormat="1" ht="12.75">
      <c r="A46" s="39" t="s">
        <v>3</v>
      </c>
      <c r="B46" s="33" t="s">
        <v>108</v>
      </c>
      <c r="C46" s="14">
        <v>1271.22385</v>
      </c>
      <c r="D46" s="14">
        <v>1408</v>
      </c>
      <c r="E46" s="14">
        <v>1444</v>
      </c>
      <c r="F46" s="40">
        <f>F43*0.182</f>
        <v>1483.3</v>
      </c>
      <c r="G46" s="40">
        <f aca="true" t="shared" si="5" ref="G46:I46">G43*0.182</f>
        <v>1486.94</v>
      </c>
      <c r="H46" s="40">
        <f t="shared" si="5"/>
        <v>1492.3999999999999</v>
      </c>
      <c r="I46" s="40">
        <f t="shared" si="5"/>
        <v>1501.5</v>
      </c>
      <c r="J46" s="40">
        <f>J43*0.175</f>
        <v>1457.75</v>
      </c>
      <c r="K46" s="40">
        <f aca="true" t="shared" si="6" ref="K46:X46">K43*0.175</f>
        <v>1475.25</v>
      </c>
      <c r="L46" s="40">
        <f t="shared" si="6"/>
        <v>1482.25</v>
      </c>
      <c r="M46" s="40">
        <f t="shared" si="6"/>
        <v>1492.75</v>
      </c>
      <c r="N46" s="40">
        <f t="shared" si="6"/>
        <v>1505</v>
      </c>
      <c r="O46" s="40">
        <f t="shared" si="6"/>
        <v>1519</v>
      </c>
      <c r="P46" s="40">
        <f t="shared" si="6"/>
        <v>1529.5</v>
      </c>
      <c r="Q46" s="40">
        <f t="shared" si="6"/>
        <v>1540</v>
      </c>
      <c r="R46" s="40">
        <f t="shared" si="6"/>
        <v>1547</v>
      </c>
      <c r="S46" s="40">
        <f t="shared" si="6"/>
        <v>1554</v>
      </c>
      <c r="T46" s="40">
        <f t="shared" si="6"/>
        <v>1559.25</v>
      </c>
      <c r="U46" s="40">
        <f t="shared" si="6"/>
        <v>1566.25</v>
      </c>
      <c r="V46" s="40">
        <f t="shared" si="6"/>
        <v>1573.25</v>
      </c>
      <c r="W46" s="40">
        <f t="shared" si="6"/>
        <v>1587.25</v>
      </c>
      <c r="X46" s="40">
        <f t="shared" si="6"/>
        <v>1583.75</v>
      </c>
    </row>
    <row r="47" spans="1:24" s="30" customFormat="1" ht="12.75">
      <c r="A47" s="39" t="s">
        <v>43</v>
      </c>
      <c r="B47" s="33" t="s">
        <v>109</v>
      </c>
      <c r="C47" s="14">
        <v>0</v>
      </c>
      <c r="D47" s="14">
        <v>190</v>
      </c>
      <c r="E47" s="14">
        <v>196</v>
      </c>
      <c r="F47" s="40">
        <v>199.679</v>
      </c>
      <c r="G47" s="40">
        <f>G43*0.0245</f>
        <v>200.16500000000002</v>
      </c>
      <c r="H47" s="40">
        <f aca="true" t="shared" si="7" ref="H47:X47">H43*0.0245</f>
        <v>200.9</v>
      </c>
      <c r="I47" s="40">
        <f t="shared" si="7"/>
        <v>202.125</v>
      </c>
      <c r="J47" s="40">
        <f t="shared" si="7"/>
        <v>204.085</v>
      </c>
      <c r="K47" s="40">
        <f t="shared" si="7"/>
        <v>206.535</v>
      </c>
      <c r="L47" s="40">
        <f t="shared" si="7"/>
        <v>207.51500000000001</v>
      </c>
      <c r="M47" s="40">
        <f t="shared" si="7"/>
        <v>208.985</v>
      </c>
      <c r="N47" s="40">
        <f t="shared" si="7"/>
        <v>210.70000000000002</v>
      </c>
      <c r="O47" s="40">
        <f t="shared" si="7"/>
        <v>212.66</v>
      </c>
      <c r="P47" s="40">
        <f t="shared" si="7"/>
        <v>214.13</v>
      </c>
      <c r="Q47" s="40">
        <f t="shared" si="7"/>
        <v>215.6</v>
      </c>
      <c r="R47" s="40">
        <f t="shared" si="7"/>
        <v>216.58</v>
      </c>
      <c r="S47" s="40">
        <f t="shared" si="7"/>
        <v>217.56</v>
      </c>
      <c r="T47" s="40">
        <f t="shared" si="7"/>
        <v>218.29500000000002</v>
      </c>
      <c r="U47" s="40">
        <f t="shared" si="7"/>
        <v>219.275</v>
      </c>
      <c r="V47" s="40">
        <f t="shared" si="7"/>
        <v>220.255</v>
      </c>
      <c r="W47" s="40">
        <f t="shared" si="7"/>
        <v>222.215</v>
      </c>
      <c r="X47" s="40">
        <f t="shared" si="7"/>
        <v>221.72500000000002</v>
      </c>
    </row>
    <row r="48" spans="1:24" s="30" customFormat="1" ht="12.75">
      <c r="A48" s="39" t="s">
        <v>53</v>
      </c>
      <c r="B48" s="33" t="s">
        <v>110</v>
      </c>
      <c r="C48" s="14">
        <v>0</v>
      </c>
      <c r="D48" s="14">
        <v>8</v>
      </c>
      <c r="E48" s="14">
        <v>8</v>
      </c>
      <c r="F48" s="40">
        <v>8</v>
      </c>
      <c r="G48" s="40">
        <v>8.3</v>
      </c>
      <c r="H48" s="40">
        <v>8.5</v>
      </c>
      <c r="I48" s="40">
        <v>8.8</v>
      </c>
      <c r="J48" s="40">
        <v>8.9</v>
      </c>
      <c r="K48" s="40">
        <v>9.2</v>
      </c>
      <c r="L48" s="40">
        <v>9.5</v>
      </c>
      <c r="M48" s="40">
        <v>9.6</v>
      </c>
      <c r="N48" s="40">
        <v>9.8</v>
      </c>
      <c r="O48" s="40">
        <v>10.2</v>
      </c>
      <c r="P48" s="40">
        <v>10.5</v>
      </c>
      <c r="Q48" s="40">
        <v>11</v>
      </c>
      <c r="R48" s="40">
        <v>11.5</v>
      </c>
      <c r="S48" s="40">
        <v>11.9</v>
      </c>
      <c r="T48" s="40">
        <v>12.5</v>
      </c>
      <c r="U48" s="40">
        <v>13</v>
      </c>
      <c r="V48" s="40">
        <v>13.6</v>
      </c>
      <c r="W48" s="40">
        <v>14.5</v>
      </c>
      <c r="X48" s="40">
        <v>15</v>
      </c>
    </row>
    <row r="49" spans="1:24" ht="12.75">
      <c r="A49" s="34" t="s">
        <v>111</v>
      </c>
      <c r="B49" s="34" t="s">
        <v>112</v>
      </c>
      <c r="C49" s="8">
        <f>SUM(C50:C53)+30.637</f>
        <v>268.55185</v>
      </c>
      <c r="D49" s="8">
        <f>SUM(D50:D53)</f>
        <v>261</v>
      </c>
      <c r="E49" s="26">
        <f aca="true" t="shared" si="8" ref="E49:X49">SUM(E50:E53)</f>
        <v>283</v>
      </c>
      <c r="F49" s="26">
        <f>SUM(F50:F53)</f>
        <v>294</v>
      </c>
      <c r="G49" s="26">
        <f t="shared" si="8"/>
        <v>301</v>
      </c>
      <c r="H49" s="26">
        <f t="shared" si="8"/>
        <v>304</v>
      </c>
      <c r="I49" s="26">
        <f t="shared" si="8"/>
        <v>310</v>
      </c>
      <c r="J49" s="26">
        <f t="shared" si="8"/>
        <v>328</v>
      </c>
      <c r="K49" s="26">
        <f t="shared" si="8"/>
        <v>335</v>
      </c>
      <c r="L49" s="26">
        <f t="shared" si="8"/>
        <v>352</v>
      </c>
      <c r="M49" s="26">
        <f t="shared" si="8"/>
        <v>361</v>
      </c>
      <c r="N49" s="26">
        <f t="shared" si="8"/>
        <v>370</v>
      </c>
      <c r="O49" s="26">
        <f t="shared" si="8"/>
        <v>382</v>
      </c>
      <c r="P49" s="26">
        <f t="shared" si="8"/>
        <v>395</v>
      </c>
      <c r="Q49" s="26">
        <f t="shared" si="8"/>
        <v>407</v>
      </c>
      <c r="R49" s="26">
        <f t="shared" si="8"/>
        <v>422</v>
      </c>
      <c r="S49" s="26">
        <f t="shared" si="8"/>
        <v>429</v>
      </c>
      <c r="T49" s="26">
        <f t="shared" si="8"/>
        <v>441</v>
      </c>
      <c r="U49" s="26">
        <f t="shared" si="8"/>
        <v>450</v>
      </c>
      <c r="V49" s="26">
        <f t="shared" si="8"/>
        <v>461</v>
      </c>
      <c r="W49" s="26">
        <f t="shared" si="8"/>
        <v>466</v>
      </c>
      <c r="X49" s="26">
        <f t="shared" si="8"/>
        <v>474</v>
      </c>
    </row>
    <row r="50" spans="1:24" s="30" customFormat="1" ht="12.75">
      <c r="A50" s="39" t="s">
        <v>3</v>
      </c>
      <c r="B50" s="33" t="s">
        <v>113</v>
      </c>
      <c r="C50" s="14">
        <v>218.28946</v>
      </c>
      <c r="D50" s="14">
        <v>192</v>
      </c>
      <c r="E50" s="14">
        <v>180</v>
      </c>
      <c r="F50" s="29">
        <v>182</v>
      </c>
      <c r="G50" s="29">
        <v>182</v>
      </c>
      <c r="H50" s="29">
        <v>183</v>
      </c>
      <c r="I50" s="29">
        <v>185</v>
      </c>
      <c r="J50" s="29">
        <v>198</v>
      </c>
      <c r="K50" s="29">
        <v>200</v>
      </c>
      <c r="L50" s="29">
        <v>210</v>
      </c>
      <c r="M50" s="29">
        <v>212</v>
      </c>
      <c r="N50" s="29">
        <v>215</v>
      </c>
      <c r="O50" s="29">
        <v>218</v>
      </c>
      <c r="P50" s="29">
        <v>222</v>
      </c>
      <c r="Q50" s="29">
        <v>225</v>
      </c>
      <c r="R50" s="29">
        <v>228</v>
      </c>
      <c r="S50" s="29">
        <v>230</v>
      </c>
      <c r="T50" s="29">
        <v>233</v>
      </c>
      <c r="U50" s="29">
        <v>236</v>
      </c>
      <c r="V50" s="29">
        <v>239</v>
      </c>
      <c r="W50" s="29">
        <v>242</v>
      </c>
      <c r="X50" s="29">
        <v>245</v>
      </c>
    </row>
    <row r="51" spans="1:24" s="30" customFormat="1" ht="12.75">
      <c r="A51" s="39" t="s">
        <v>43</v>
      </c>
      <c r="B51" s="33" t="s">
        <v>114</v>
      </c>
      <c r="C51" s="14">
        <v>1.42189</v>
      </c>
      <c r="D51" s="14">
        <v>41</v>
      </c>
      <c r="E51" s="14">
        <v>40</v>
      </c>
      <c r="F51" s="29">
        <v>42</v>
      </c>
      <c r="G51" s="29">
        <v>46</v>
      </c>
      <c r="H51" s="29">
        <v>47</v>
      </c>
      <c r="I51" s="29">
        <v>48</v>
      </c>
      <c r="J51" s="29">
        <v>50</v>
      </c>
      <c r="K51" s="29">
        <v>52</v>
      </c>
      <c r="L51" s="29">
        <v>54</v>
      </c>
      <c r="M51" s="29">
        <v>56</v>
      </c>
      <c r="N51" s="29">
        <v>59</v>
      </c>
      <c r="O51" s="29">
        <v>62</v>
      </c>
      <c r="P51" s="29">
        <v>65</v>
      </c>
      <c r="Q51" s="29">
        <v>68</v>
      </c>
      <c r="R51" s="29">
        <v>74</v>
      </c>
      <c r="S51" s="29">
        <v>76</v>
      </c>
      <c r="T51" s="29">
        <v>80</v>
      </c>
      <c r="U51" s="29">
        <v>82</v>
      </c>
      <c r="V51" s="29">
        <v>85</v>
      </c>
      <c r="W51" s="29">
        <v>86</v>
      </c>
      <c r="X51" s="29">
        <v>89</v>
      </c>
    </row>
    <row r="52" spans="1:24" s="30" customFormat="1" ht="12.75">
      <c r="A52" s="39" t="s">
        <v>53</v>
      </c>
      <c r="B52" s="33" t="s">
        <v>115</v>
      </c>
      <c r="C52" s="14">
        <v>17.34</v>
      </c>
      <c r="D52" s="14">
        <v>28</v>
      </c>
      <c r="E52" s="14">
        <v>28</v>
      </c>
      <c r="F52" s="29">
        <v>30</v>
      </c>
      <c r="G52" s="29">
        <v>31</v>
      </c>
      <c r="H52" s="29">
        <v>31</v>
      </c>
      <c r="I52" s="29">
        <v>33</v>
      </c>
      <c r="J52" s="29">
        <v>35</v>
      </c>
      <c r="K52" s="29">
        <v>37</v>
      </c>
      <c r="L52" s="29">
        <v>39</v>
      </c>
      <c r="M52" s="29">
        <v>42</v>
      </c>
      <c r="N52" s="29">
        <v>44</v>
      </c>
      <c r="O52" s="29">
        <v>47</v>
      </c>
      <c r="P52" s="29">
        <v>50</v>
      </c>
      <c r="Q52" s="29">
        <v>52</v>
      </c>
      <c r="R52" s="29">
        <v>55</v>
      </c>
      <c r="S52" s="29">
        <v>57</v>
      </c>
      <c r="T52" s="29">
        <v>60</v>
      </c>
      <c r="U52" s="29">
        <v>62</v>
      </c>
      <c r="V52" s="29">
        <v>65</v>
      </c>
      <c r="W52" s="29">
        <v>66</v>
      </c>
      <c r="X52" s="29">
        <v>67</v>
      </c>
    </row>
    <row r="53" spans="1:24" s="30" customFormat="1" ht="12.75">
      <c r="A53" s="39" t="s">
        <v>55</v>
      </c>
      <c r="B53" s="38" t="s">
        <v>116</v>
      </c>
      <c r="C53" s="14">
        <v>0.8635</v>
      </c>
      <c r="D53" s="14">
        <v>0</v>
      </c>
      <c r="E53" s="14">
        <v>35</v>
      </c>
      <c r="F53" s="29">
        <v>40</v>
      </c>
      <c r="G53" s="29">
        <v>42</v>
      </c>
      <c r="H53" s="29">
        <v>43</v>
      </c>
      <c r="I53" s="29">
        <v>44</v>
      </c>
      <c r="J53" s="29">
        <v>45</v>
      </c>
      <c r="K53" s="29">
        <v>46</v>
      </c>
      <c r="L53" s="29">
        <v>49</v>
      </c>
      <c r="M53" s="29">
        <v>51</v>
      </c>
      <c r="N53" s="29">
        <v>52</v>
      </c>
      <c r="O53" s="29">
        <v>55</v>
      </c>
      <c r="P53" s="29">
        <v>58</v>
      </c>
      <c r="Q53" s="29">
        <v>62</v>
      </c>
      <c r="R53" s="29">
        <v>65</v>
      </c>
      <c r="S53" s="29">
        <v>66</v>
      </c>
      <c r="T53" s="29">
        <v>68</v>
      </c>
      <c r="U53" s="29">
        <v>70</v>
      </c>
      <c r="V53" s="29">
        <v>72</v>
      </c>
      <c r="W53" s="29">
        <v>72</v>
      </c>
      <c r="X53" s="29">
        <v>73</v>
      </c>
    </row>
    <row r="54" spans="1:24" ht="12.75">
      <c r="A54" s="34" t="s">
        <v>117</v>
      </c>
      <c r="B54" s="34" t="s">
        <v>118</v>
      </c>
      <c r="C54" s="8" t="e">
        <f>SUM(C55:C57)</f>
        <v>#N/A</v>
      </c>
      <c r="D54" s="8">
        <f>SUM(D55:D57)</f>
        <v>123</v>
      </c>
      <c r="E54" s="26">
        <f aca="true" t="shared" si="9" ref="E54:X54">SUM(E55:E57)</f>
        <v>599</v>
      </c>
      <c r="F54" s="26">
        <f>SUM(F55:F57)</f>
        <v>614</v>
      </c>
      <c r="G54" s="26">
        <f t="shared" si="9"/>
        <v>594</v>
      </c>
      <c r="H54" s="26">
        <f t="shared" si="9"/>
        <v>574</v>
      </c>
      <c r="I54" s="26">
        <f t="shared" si="9"/>
        <v>569</v>
      </c>
      <c r="J54" s="26">
        <f t="shared" si="9"/>
        <v>549</v>
      </c>
      <c r="K54" s="26">
        <f t="shared" si="9"/>
        <v>528</v>
      </c>
      <c r="L54" s="26">
        <f t="shared" si="9"/>
        <v>515</v>
      </c>
      <c r="M54" s="26">
        <f t="shared" si="9"/>
        <v>493</v>
      </c>
      <c r="N54" s="26">
        <f t="shared" si="9"/>
        <v>473</v>
      </c>
      <c r="O54" s="26">
        <f t="shared" si="9"/>
        <v>455</v>
      </c>
      <c r="P54" s="26">
        <f t="shared" si="9"/>
        <v>433</v>
      </c>
      <c r="Q54" s="26">
        <f t="shared" si="9"/>
        <v>409</v>
      </c>
      <c r="R54" s="26">
        <f t="shared" si="9"/>
        <v>382</v>
      </c>
      <c r="S54" s="26">
        <f t="shared" si="9"/>
        <v>354</v>
      </c>
      <c r="T54" s="26">
        <f t="shared" si="9"/>
        <v>324</v>
      </c>
      <c r="U54" s="26">
        <f t="shared" si="9"/>
        <v>292</v>
      </c>
      <c r="V54" s="26">
        <f t="shared" si="9"/>
        <v>259</v>
      </c>
      <c r="W54" s="26">
        <f t="shared" si="9"/>
        <v>223</v>
      </c>
      <c r="X54" s="26">
        <f t="shared" si="9"/>
        <v>190</v>
      </c>
    </row>
    <row r="55" spans="1:24" s="30" customFormat="1" ht="12.75">
      <c r="A55" s="39" t="s">
        <v>3</v>
      </c>
      <c r="B55" s="33" t="s">
        <v>119</v>
      </c>
      <c r="C55" s="14" t="e">
        <f>#N/A</f>
        <v>#N/A</v>
      </c>
      <c r="D55" s="14">
        <v>104</v>
      </c>
      <c r="E55" s="14">
        <v>100</v>
      </c>
      <c r="F55" s="29">
        <v>105</v>
      </c>
      <c r="G55" s="29">
        <v>105</v>
      </c>
      <c r="H55" s="29">
        <v>105</v>
      </c>
      <c r="I55" s="29">
        <v>110</v>
      </c>
      <c r="J55" s="29">
        <v>110</v>
      </c>
      <c r="K55" s="29">
        <v>115</v>
      </c>
      <c r="L55" s="29">
        <v>115</v>
      </c>
      <c r="M55" s="29">
        <v>115</v>
      </c>
      <c r="N55" s="29">
        <v>115</v>
      </c>
      <c r="O55" s="29">
        <v>120</v>
      </c>
      <c r="P55" s="29">
        <v>120</v>
      </c>
      <c r="Q55" s="29">
        <v>120</v>
      </c>
      <c r="R55" s="29">
        <v>120</v>
      </c>
      <c r="S55" s="29">
        <v>120</v>
      </c>
      <c r="T55" s="29">
        <v>120</v>
      </c>
      <c r="U55" s="29">
        <v>120</v>
      </c>
      <c r="V55" s="29">
        <v>120</v>
      </c>
      <c r="W55" s="29">
        <v>120</v>
      </c>
      <c r="X55" s="29">
        <v>125</v>
      </c>
    </row>
    <row r="56" spans="1:24" s="43" customFormat="1" ht="12.75">
      <c r="A56" s="39" t="s">
        <v>43</v>
      </c>
      <c r="B56" s="33" t="s">
        <v>120</v>
      </c>
      <c r="C56" s="41">
        <v>38.68197</v>
      </c>
      <c r="D56" s="41">
        <v>10</v>
      </c>
      <c r="E56" s="41">
        <v>490</v>
      </c>
      <c r="F56" s="42">
        <v>500</v>
      </c>
      <c r="G56" s="42">
        <v>480</v>
      </c>
      <c r="H56" s="42">
        <v>460</v>
      </c>
      <c r="I56" s="42">
        <v>450</v>
      </c>
      <c r="J56" s="42">
        <v>430</v>
      </c>
      <c r="K56" s="42">
        <v>413</v>
      </c>
      <c r="L56" s="42">
        <v>400</v>
      </c>
      <c r="M56" s="42">
        <v>378</v>
      </c>
      <c r="N56" s="42">
        <v>358</v>
      </c>
      <c r="O56" s="42">
        <v>335</v>
      </c>
      <c r="P56" s="42">
        <v>313</v>
      </c>
      <c r="Q56" s="42">
        <v>289</v>
      </c>
      <c r="R56" s="42">
        <v>262</v>
      </c>
      <c r="S56" s="42">
        <v>234</v>
      </c>
      <c r="T56" s="42">
        <v>204</v>
      </c>
      <c r="U56" s="42">
        <v>172</v>
      </c>
      <c r="V56" s="42">
        <v>139</v>
      </c>
      <c r="W56" s="42">
        <v>103</v>
      </c>
      <c r="X56" s="42">
        <v>65</v>
      </c>
    </row>
    <row r="57" spans="1:24" s="30" customFormat="1" ht="12.75">
      <c r="A57" s="39" t="s">
        <v>53</v>
      </c>
      <c r="B57" s="33" t="s">
        <v>121</v>
      </c>
      <c r="C57" s="14">
        <v>6.80095</v>
      </c>
      <c r="D57" s="14">
        <v>9</v>
      </c>
      <c r="E57" s="14">
        <v>9</v>
      </c>
      <c r="F57" s="29">
        <v>9</v>
      </c>
      <c r="G57" s="29">
        <v>9</v>
      </c>
      <c r="H57" s="29">
        <v>9</v>
      </c>
      <c r="I57" s="29">
        <v>9</v>
      </c>
      <c r="J57" s="29">
        <v>9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29">
        <v>0</v>
      </c>
      <c r="T57" s="29">
        <v>0</v>
      </c>
      <c r="U57" s="29">
        <v>0</v>
      </c>
      <c r="V57" s="29">
        <v>0</v>
      </c>
      <c r="W57" s="29">
        <v>0</v>
      </c>
      <c r="X57" s="29">
        <v>0</v>
      </c>
    </row>
    <row r="58" spans="1:24" ht="15" customHeight="1">
      <c r="A58" s="44" t="s">
        <v>122</v>
      </c>
      <c r="B58" s="44"/>
      <c r="C58" s="23" t="e">
        <f>C54+C49+C45+C42+C40+C23+C6+C5</f>
        <v>#N/A</v>
      </c>
      <c r="D58" s="23">
        <f>D54+D49+D45+D42+D40+D23+D6+D5</f>
        <v>29426</v>
      </c>
      <c r="E58" s="23">
        <f aca="true" t="shared" si="10" ref="E58:X58">E5+E6+E23+E40+E42+E45+E49+E54</f>
        <v>29886</v>
      </c>
      <c r="F58" s="23">
        <f t="shared" si="10"/>
        <v>31106.979</v>
      </c>
      <c r="G58" s="23">
        <f t="shared" si="10"/>
        <v>31338.405</v>
      </c>
      <c r="H58" s="23">
        <f t="shared" si="10"/>
        <v>31634.8</v>
      </c>
      <c r="I58" s="23">
        <f t="shared" si="10"/>
        <v>31929.425</v>
      </c>
      <c r="J58" s="23">
        <f t="shared" si="10"/>
        <v>32636.735</v>
      </c>
      <c r="K58" s="23">
        <f t="shared" si="10"/>
        <v>33023.985</v>
      </c>
      <c r="L58" s="23">
        <f t="shared" si="10"/>
        <v>33378.265</v>
      </c>
      <c r="M58" s="23">
        <f t="shared" si="10"/>
        <v>33763.335</v>
      </c>
      <c r="N58" s="23">
        <f t="shared" si="10"/>
        <v>34127.5</v>
      </c>
      <c r="O58" s="23">
        <f t="shared" si="10"/>
        <v>34616.86</v>
      </c>
      <c r="P58" s="23">
        <f t="shared" si="10"/>
        <v>35066.13</v>
      </c>
      <c r="Q58" s="23">
        <f t="shared" si="10"/>
        <v>35434.6</v>
      </c>
      <c r="R58" s="23">
        <f t="shared" si="10"/>
        <v>35789.08</v>
      </c>
      <c r="S58" s="23">
        <f t="shared" si="10"/>
        <v>36135.46</v>
      </c>
      <c r="T58" s="23">
        <f t="shared" si="10"/>
        <v>36482.045</v>
      </c>
      <c r="U58" s="23">
        <f t="shared" si="10"/>
        <v>36850.525</v>
      </c>
      <c r="V58" s="23">
        <f t="shared" si="10"/>
        <v>37240.105</v>
      </c>
      <c r="W58" s="23">
        <f t="shared" si="10"/>
        <v>37693.965</v>
      </c>
      <c r="X58" s="23">
        <f t="shared" si="10"/>
        <v>37948.475</v>
      </c>
    </row>
    <row r="60" spans="3:5" ht="12.75">
      <c r="C60" s="45"/>
      <c r="D60" s="45"/>
      <c r="E60" s="45"/>
    </row>
  </sheetData>
  <sheetProtection selectLockedCells="1" selectUnlockedCells="1"/>
  <mergeCells count="27">
    <mergeCell ref="A1:X1"/>
    <mergeCell ref="D2:E2"/>
    <mergeCell ref="F2:X2"/>
    <mergeCell ref="A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A58:B58"/>
  </mergeCells>
  <printOptions/>
  <pageMargins left="0.7" right="0.7" top="0.75" bottom="0.75" header="0.3" footer="0.3"/>
  <pageSetup horizontalDpi="300" verticalDpi="300" orientation="landscape" paperSize="9"/>
  <headerFooter alignWithMargins="0">
    <oddHeader>&amp;R&amp;"Czcionka tekstu podstawowego,Regularna"&amp;11Zespół Opieki Zdrowotnej w Brodnicy</oddHeader>
    <oddFooter>&amp;C&amp;"Czcionka tekstu podstawowego,Regularna"&amp;11Lech Consulting Sp. z o.o.
www.LC.net.pl</oddFooter>
  </headerFooter>
  <colBreaks count="1" manualBreakCount="1">
    <brk id="2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30"/>
  <sheetViews>
    <sheetView showGridLines="0" tabSelected="1" view="pageBreakPreview" zoomScale="90" zoomScaleNormal="70" zoomScaleSheetLayoutView="90" workbookViewId="0" topLeftCell="C1">
      <selection activeCell="N37" sqref="L37:N37"/>
    </sheetView>
  </sheetViews>
  <sheetFormatPr defaultColWidth="9.140625" defaultRowHeight="12.75"/>
  <cols>
    <col min="1" max="1" width="26.140625" style="0" customWidth="1"/>
    <col min="2" max="23" width="10.00390625" style="0" customWidth="1"/>
    <col min="24" max="16384" width="9.421875" style="0" customWidth="1"/>
  </cols>
  <sheetData>
    <row r="1" spans="1:23" ht="15.75" customHeight="1">
      <c r="A1" s="46" t="s">
        <v>123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</row>
    <row r="2" spans="1:23" ht="29.25" customHeight="1">
      <c r="A2" s="46"/>
      <c r="B2" s="46"/>
      <c r="C2" s="3" t="s">
        <v>1</v>
      </c>
      <c r="D2" s="3"/>
      <c r="E2" s="3" t="s">
        <v>2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s="5" customFormat="1" ht="13.5" customHeight="1">
      <c r="A3" s="47"/>
      <c r="B3" s="4" t="s">
        <v>124</v>
      </c>
      <c r="C3" s="4" t="s">
        <v>125</v>
      </c>
      <c r="D3" s="4">
        <v>2015</v>
      </c>
      <c r="E3" s="4">
        <v>2016</v>
      </c>
      <c r="F3" s="4">
        <v>2017</v>
      </c>
      <c r="G3" s="4">
        <v>2018</v>
      </c>
      <c r="H3" s="4">
        <v>2019</v>
      </c>
      <c r="I3" s="4">
        <v>2020</v>
      </c>
      <c r="J3" s="4">
        <v>2021</v>
      </c>
      <c r="K3" s="4">
        <v>2022</v>
      </c>
      <c r="L3" s="4">
        <v>2023</v>
      </c>
      <c r="M3" s="4">
        <v>2024</v>
      </c>
      <c r="N3" s="4">
        <v>2025</v>
      </c>
      <c r="O3" s="4">
        <v>2026</v>
      </c>
      <c r="P3" s="4">
        <v>2027</v>
      </c>
      <c r="Q3" s="4">
        <v>2028</v>
      </c>
      <c r="R3" s="4">
        <v>2029</v>
      </c>
      <c r="S3" s="4">
        <v>2030</v>
      </c>
      <c r="T3" s="4">
        <v>2031</v>
      </c>
      <c r="U3" s="4">
        <v>2032</v>
      </c>
      <c r="V3" s="4">
        <v>2033</v>
      </c>
      <c r="W3" s="4">
        <v>2034</v>
      </c>
    </row>
    <row r="4" spans="1:23" s="5" customFormat="1" ht="15.75" customHeight="1">
      <c r="A4" s="47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12.75">
      <c r="A5" s="48" t="s">
        <v>126</v>
      </c>
      <c r="B5" s="49">
        <v>20245.73061</v>
      </c>
      <c r="C5" s="49">
        <v>29562.424950000004</v>
      </c>
      <c r="D5" s="49">
        <v>30259.92</v>
      </c>
      <c r="E5" s="50">
        <f aca="true" t="shared" si="0" ref="E5:K5">E6+E7</f>
        <v>31470</v>
      </c>
      <c r="F5" s="50">
        <f t="shared" si="0"/>
        <v>31997</v>
      </c>
      <c r="G5" s="50">
        <f t="shared" si="0"/>
        <v>32122</v>
      </c>
      <c r="H5" s="50">
        <f t="shared" si="0"/>
        <v>32348</v>
      </c>
      <c r="I5" s="50">
        <f t="shared" si="0"/>
        <v>33067</v>
      </c>
      <c r="J5" s="50">
        <f t="shared" si="0"/>
        <v>33491</v>
      </c>
      <c r="K5" s="50">
        <f t="shared" si="0"/>
        <v>33847</v>
      </c>
      <c r="L5" s="50">
        <f aca="true" t="shared" si="1" ref="L5:W5">L6+L7</f>
        <v>34314</v>
      </c>
      <c r="M5" s="50">
        <f t="shared" si="1"/>
        <v>34714</v>
      </c>
      <c r="N5" s="50">
        <f t="shared" si="1"/>
        <v>35262</v>
      </c>
      <c r="O5" s="50">
        <f t="shared" si="1"/>
        <v>35731</v>
      </c>
      <c r="P5" s="50">
        <f t="shared" si="1"/>
        <v>36063</v>
      </c>
      <c r="Q5" s="50">
        <f t="shared" si="1"/>
        <v>36413</v>
      </c>
      <c r="R5" s="50">
        <f t="shared" si="1"/>
        <v>36830</v>
      </c>
      <c r="S5" s="50">
        <f t="shared" si="1"/>
        <v>37245</v>
      </c>
      <c r="T5" s="50">
        <f t="shared" si="1"/>
        <v>37597</v>
      </c>
      <c r="U5" s="50">
        <f t="shared" si="1"/>
        <v>38054</v>
      </c>
      <c r="V5" s="50">
        <f t="shared" si="1"/>
        <v>38553</v>
      </c>
      <c r="W5" s="50">
        <f t="shared" si="1"/>
        <v>38937</v>
      </c>
    </row>
    <row r="6" spans="1:23" ht="12.75">
      <c r="A6" s="48" t="s">
        <v>127</v>
      </c>
      <c r="B6" s="49">
        <v>20245.73061</v>
      </c>
      <c r="C6" s="49">
        <v>29562.424950000004</v>
      </c>
      <c r="D6" s="49">
        <v>30259.92</v>
      </c>
      <c r="E6" s="51">
        <f>PRZYCHODY!F26</f>
        <v>31470</v>
      </c>
      <c r="F6" s="51">
        <f>PRZYCHODY!G26</f>
        <v>31997</v>
      </c>
      <c r="G6" s="51">
        <f>PRZYCHODY!H26</f>
        <v>32122</v>
      </c>
      <c r="H6" s="51">
        <f>PRZYCHODY!I26</f>
        <v>32348</v>
      </c>
      <c r="I6" s="51">
        <f>PRZYCHODY!J26</f>
        <v>33067</v>
      </c>
      <c r="J6" s="51">
        <f>PRZYCHODY!K26</f>
        <v>33491</v>
      </c>
      <c r="K6" s="51">
        <f>PRZYCHODY!L26</f>
        <v>33847</v>
      </c>
      <c r="L6" s="51">
        <f>PRZYCHODY!M26</f>
        <v>34314</v>
      </c>
      <c r="M6" s="51">
        <f>PRZYCHODY!N26</f>
        <v>34714</v>
      </c>
      <c r="N6" s="51">
        <f>PRZYCHODY!O26</f>
        <v>35262</v>
      </c>
      <c r="O6" s="51">
        <f>PRZYCHODY!P26</f>
        <v>35731</v>
      </c>
      <c r="P6" s="51">
        <f>PRZYCHODY!Q26</f>
        <v>36063</v>
      </c>
      <c r="Q6" s="51">
        <f>PRZYCHODY!R26</f>
        <v>36413</v>
      </c>
      <c r="R6" s="51">
        <f>PRZYCHODY!S26</f>
        <v>36830</v>
      </c>
      <c r="S6" s="51">
        <f>PRZYCHODY!T26</f>
        <v>37245</v>
      </c>
      <c r="T6" s="51">
        <f>PRZYCHODY!U26</f>
        <v>37597</v>
      </c>
      <c r="U6" s="51">
        <f>PRZYCHODY!V26</f>
        <v>38054</v>
      </c>
      <c r="V6" s="51">
        <f>PRZYCHODY!W26</f>
        <v>38553</v>
      </c>
      <c r="W6" s="51">
        <f>PRZYCHODY!X26</f>
        <v>38937</v>
      </c>
    </row>
    <row r="7" spans="1:23" ht="12.75">
      <c r="A7" s="48" t="s">
        <v>128</v>
      </c>
      <c r="B7" s="49">
        <v>0</v>
      </c>
      <c r="C7" s="49">
        <v>0</v>
      </c>
      <c r="D7" s="49">
        <v>0</v>
      </c>
      <c r="E7" s="51">
        <v>0</v>
      </c>
      <c r="F7" s="51">
        <v>0</v>
      </c>
      <c r="G7" s="51">
        <v>0</v>
      </c>
      <c r="H7" s="51">
        <v>0</v>
      </c>
      <c r="I7" s="51">
        <v>0</v>
      </c>
      <c r="J7" s="51">
        <v>0</v>
      </c>
      <c r="K7" s="51">
        <v>0</v>
      </c>
      <c r="L7" s="51">
        <v>0</v>
      </c>
      <c r="M7" s="51">
        <v>0</v>
      </c>
      <c r="N7" s="51">
        <v>0</v>
      </c>
      <c r="O7" s="51">
        <v>0</v>
      </c>
      <c r="P7" s="51">
        <v>0</v>
      </c>
      <c r="Q7" s="51">
        <v>0</v>
      </c>
      <c r="R7" s="51">
        <v>0</v>
      </c>
      <c r="S7" s="51">
        <v>0</v>
      </c>
      <c r="T7" s="51">
        <v>0</v>
      </c>
      <c r="U7" s="51">
        <v>0</v>
      </c>
      <c r="V7" s="51">
        <v>0</v>
      </c>
      <c r="W7" s="51">
        <v>0</v>
      </c>
    </row>
    <row r="8" spans="1:23" ht="12.75">
      <c r="A8" s="48" t="s">
        <v>129</v>
      </c>
      <c r="B8" s="49">
        <v>22639.47659</v>
      </c>
      <c r="C8" s="49">
        <v>29332.5</v>
      </c>
      <c r="D8" s="49">
        <v>29535.70004</v>
      </c>
      <c r="E8" s="50">
        <f aca="true" t="shared" si="2" ref="E8:K8">SUM(E9:E16)</f>
        <v>30492.979</v>
      </c>
      <c r="F8" s="50">
        <f t="shared" si="2"/>
        <v>30744.405</v>
      </c>
      <c r="G8" s="50">
        <f t="shared" si="2"/>
        <v>31060.8</v>
      </c>
      <c r="H8" s="50">
        <f t="shared" si="2"/>
        <v>31360.425</v>
      </c>
      <c r="I8" s="50">
        <f t="shared" si="2"/>
        <v>32087.735</v>
      </c>
      <c r="J8" s="50">
        <f t="shared" si="2"/>
        <v>32495.985</v>
      </c>
      <c r="K8" s="50">
        <f t="shared" si="2"/>
        <v>32863.265</v>
      </c>
      <c r="L8" s="50">
        <f aca="true" t="shared" si="3" ref="L8:W8">SUM(L9:L16)</f>
        <v>33270.335</v>
      </c>
      <c r="M8" s="50">
        <f t="shared" si="3"/>
        <v>33654.5</v>
      </c>
      <c r="N8" s="50">
        <f t="shared" si="3"/>
        <v>34161.86</v>
      </c>
      <c r="O8" s="50">
        <f t="shared" si="3"/>
        <v>34633.130000000005</v>
      </c>
      <c r="P8" s="50">
        <f t="shared" si="3"/>
        <v>35025.6</v>
      </c>
      <c r="Q8" s="50">
        <f t="shared" si="3"/>
        <v>35407.08</v>
      </c>
      <c r="R8" s="50">
        <f t="shared" si="3"/>
        <v>35781.46</v>
      </c>
      <c r="S8" s="50">
        <f t="shared" si="3"/>
        <v>36158.045</v>
      </c>
      <c r="T8" s="50">
        <f t="shared" si="3"/>
        <v>36558.525</v>
      </c>
      <c r="U8" s="50">
        <f t="shared" si="3"/>
        <v>36981.105</v>
      </c>
      <c r="V8" s="50">
        <f t="shared" si="3"/>
        <v>37470.965</v>
      </c>
      <c r="W8" s="50">
        <f t="shared" si="3"/>
        <v>37758.475</v>
      </c>
    </row>
    <row r="9" spans="1:23" ht="12.75">
      <c r="A9" s="48" t="s">
        <v>130</v>
      </c>
      <c r="B9" s="49">
        <v>609.18968</v>
      </c>
      <c r="C9" s="49">
        <v>1034</v>
      </c>
      <c r="D9" s="49">
        <v>1374</v>
      </c>
      <c r="E9" s="51">
        <f>KOSZTY!F5</f>
        <v>1990</v>
      </c>
      <c r="F9" s="51">
        <f>KOSZTY!G5</f>
        <v>1990</v>
      </c>
      <c r="G9" s="51">
        <f>KOSZTY!H5</f>
        <v>1995</v>
      </c>
      <c r="H9" s="51">
        <f>KOSZTY!I5</f>
        <v>2000</v>
      </c>
      <c r="I9" s="51">
        <f>KOSZTY!J5</f>
        <v>2002</v>
      </c>
      <c r="J9" s="51">
        <f>KOSZTY!K5</f>
        <v>2005</v>
      </c>
      <c r="K9" s="51">
        <f>KOSZTY!L5</f>
        <v>2008</v>
      </c>
      <c r="L9" s="51">
        <f>KOSZTY!M5</f>
        <v>2010</v>
      </c>
      <c r="M9" s="51">
        <f>KOSZTY!N5</f>
        <v>2013</v>
      </c>
      <c r="N9" s="51">
        <f>KOSZTY!O5</f>
        <v>2020</v>
      </c>
      <c r="O9" s="51">
        <f>KOSZTY!P5</f>
        <v>2025</v>
      </c>
      <c r="P9" s="51">
        <f>KOSZTY!Q5</f>
        <v>2028</v>
      </c>
      <c r="Q9" s="51">
        <f>KOSZTY!R5</f>
        <v>2030</v>
      </c>
      <c r="R9" s="51">
        <f>KOSZTY!S5</f>
        <v>2035</v>
      </c>
      <c r="S9" s="51">
        <f>KOSZTY!T5</f>
        <v>2038</v>
      </c>
      <c r="T9" s="51">
        <f>KOSZTY!U5</f>
        <v>2042</v>
      </c>
      <c r="U9" s="51">
        <f>KOSZTY!V5</f>
        <v>2045</v>
      </c>
      <c r="V9" s="51">
        <f>KOSZTY!W5</f>
        <v>2048</v>
      </c>
      <c r="W9" s="51">
        <f>KOSZTY!X5</f>
        <v>2050</v>
      </c>
    </row>
    <row r="10" spans="1:23" ht="12.75">
      <c r="A10" s="48" t="s">
        <v>131</v>
      </c>
      <c r="B10" s="49">
        <v>3967.66518</v>
      </c>
      <c r="C10" s="49">
        <v>4909.000000000001</v>
      </c>
      <c r="D10" s="49">
        <v>5036.80004</v>
      </c>
      <c r="E10" s="51">
        <f>KOSZTY!F6</f>
        <v>5123</v>
      </c>
      <c r="F10" s="51">
        <f>KOSZTY!G6</f>
        <v>5239</v>
      </c>
      <c r="G10" s="51">
        <f>KOSZTY!H6</f>
        <v>5334</v>
      </c>
      <c r="H10" s="51">
        <f>KOSZTY!I6</f>
        <v>5432</v>
      </c>
      <c r="I10" s="51">
        <f>KOSZTY!J6</f>
        <v>5538</v>
      </c>
      <c r="J10" s="51">
        <f>KOSZTY!K6</f>
        <v>5631</v>
      </c>
      <c r="K10" s="51">
        <f>KOSZTY!L6</f>
        <v>5764</v>
      </c>
      <c r="L10" s="51">
        <f>KOSZTY!M6</f>
        <v>5898</v>
      </c>
      <c r="M10" s="51">
        <f>KOSZTY!N6</f>
        <v>6011</v>
      </c>
      <c r="N10" s="51">
        <f>KOSZTY!O6</f>
        <v>6150</v>
      </c>
      <c r="O10" s="51">
        <f>KOSZTY!P6</f>
        <v>6279</v>
      </c>
      <c r="P10" s="51">
        <f>KOSZTY!Q6</f>
        <v>6404</v>
      </c>
      <c r="Q10" s="51">
        <f>KOSZTY!R6</f>
        <v>6548</v>
      </c>
      <c r="R10" s="51">
        <f>KOSZTY!S6</f>
        <v>6700</v>
      </c>
      <c r="S10" s="51">
        <f>KOSZTY!T6</f>
        <v>6850</v>
      </c>
      <c r="T10" s="51">
        <f>KOSZTY!U6</f>
        <v>7009</v>
      </c>
      <c r="U10" s="51">
        <f>KOSZTY!V6</f>
        <v>7189</v>
      </c>
      <c r="V10" s="51">
        <f>KOSZTY!W6</f>
        <v>7352</v>
      </c>
      <c r="W10" s="51">
        <f>KOSZTY!X6</f>
        <v>7502</v>
      </c>
    </row>
    <row r="11" spans="1:23" ht="12.75">
      <c r="A11" s="48" t="s">
        <v>132</v>
      </c>
      <c r="B11" s="49">
        <v>9334.0131</v>
      </c>
      <c r="C11" s="49">
        <v>12829</v>
      </c>
      <c r="D11" s="49">
        <v>12585.199999999997</v>
      </c>
      <c r="E11" s="51">
        <f>KOSZTY!F23</f>
        <v>12705</v>
      </c>
      <c r="F11" s="51">
        <f>KOSZTY!G23</f>
        <v>12797</v>
      </c>
      <c r="G11" s="51">
        <f>KOSZTY!H23</f>
        <v>12953</v>
      </c>
      <c r="H11" s="51">
        <f>KOSZTY!I23</f>
        <v>13071</v>
      </c>
      <c r="I11" s="51">
        <f>KOSZTY!J23</f>
        <v>13621</v>
      </c>
      <c r="J11" s="51">
        <f>KOSZTY!K23</f>
        <v>13782</v>
      </c>
      <c r="K11" s="51">
        <f>KOSZTY!L23</f>
        <v>13915</v>
      </c>
      <c r="L11" s="51">
        <f>KOSZTY!M23</f>
        <v>14087</v>
      </c>
      <c r="M11" s="51">
        <f>KOSZTY!N23</f>
        <v>14233</v>
      </c>
      <c r="N11" s="51">
        <f>KOSZTY!O23</f>
        <v>14443</v>
      </c>
      <c r="O11" s="51">
        <f>KOSZTY!P23</f>
        <v>14652</v>
      </c>
      <c r="P11" s="51">
        <f>KOSZTY!Q23</f>
        <v>14810</v>
      </c>
      <c r="Q11" s="51">
        <f>KOSZTY!R23</f>
        <v>14948</v>
      </c>
      <c r="R11" s="51">
        <f>KOSZTY!S23</f>
        <v>15098</v>
      </c>
      <c r="S11" s="51">
        <f>KOSZTY!T23</f>
        <v>15259</v>
      </c>
      <c r="T11" s="51">
        <f>KOSZTY!U23</f>
        <v>15412</v>
      </c>
      <c r="U11" s="51">
        <f>KOSZTY!V23</f>
        <v>15564</v>
      </c>
      <c r="V11" s="51">
        <f>KOSZTY!W23</f>
        <v>15758</v>
      </c>
      <c r="W11" s="51">
        <f>KOSZTY!X23</f>
        <v>15892</v>
      </c>
    </row>
    <row r="12" spans="1:23" ht="12.75">
      <c r="A12" s="48" t="s">
        <v>133</v>
      </c>
      <c r="B12" s="49">
        <v>196.13766</v>
      </c>
      <c r="C12" s="49">
        <v>229</v>
      </c>
      <c r="D12" s="49">
        <v>231</v>
      </c>
      <c r="E12" s="51">
        <f>KOSZTY!F40</f>
        <v>230</v>
      </c>
      <c r="F12" s="51">
        <f>KOSZTY!G40</f>
        <v>232</v>
      </c>
      <c r="G12" s="51">
        <f>KOSZTY!H40</f>
        <v>233</v>
      </c>
      <c r="H12" s="51">
        <f>KOSZTY!I40</f>
        <v>235</v>
      </c>
      <c r="I12" s="51">
        <f>KOSZTY!J40</f>
        <v>238</v>
      </c>
      <c r="J12" s="51">
        <f>KOSZTY!K40</f>
        <v>242</v>
      </c>
      <c r="K12" s="51">
        <f>KOSZTY!L40</f>
        <v>245</v>
      </c>
      <c r="L12" s="51">
        <f>KOSZTY!M40</f>
        <v>248</v>
      </c>
      <c r="M12" s="51">
        <f>KOSZTY!N40</f>
        <v>252</v>
      </c>
      <c r="N12" s="51">
        <f>KOSZTY!O40</f>
        <v>255</v>
      </c>
      <c r="O12" s="51">
        <f>KOSZTY!P40</f>
        <v>258</v>
      </c>
      <c r="P12" s="51">
        <f>KOSZTY!Q40</f>
        <v>260</v>
      </c>
      <c r="Q12" s="51">
        <f>KOSZTY!R40</f>
        <v>264</v>
      </c>
      <c r="R12" s="51">
        <f>KOSZTY!S40</f>
        <v>266</v>
      </c>
      <c r="S12" s="51">
        <f>KOSZTY!T40</f>
        <v>270</v>
      </c>
      <c r="T12" s="51">
        <f>KOSZTY!U40</f>
        <v>272</v>
      </c>
      <c r="U12" s="51">
        <f>KOSZTY!V40</f>
        <v>275</v>
      </c>
      <c r="V12" s="51">
        <f>KOSZTY!W40</f>
        <v>278</v>
      </c>
      <c r="W12" s="51">
        <f>KOSZTY!X40</f>
        <v>280</v>
      </c>
    </row>
    <row r="13" spans="1:23" ht="12.75">
      <c r="A13" s="48" t="s">
        <v>134</v>
      </c>
      <c r="B13" s="49">
        <v>7023.33224</v>
      </c>
      <c r="C13" s="49">
        <v>8434</v>
      </c>
      <c r="D13" s="49">
        <v>8358.5</v>
      </c>
      <c r="E13" s="51">
        <f>KOSZTY!F42</f>
        <v>8460</v>
      </c>
      <c r="F13" s="51">
        <f>KOSZTY!G42</f>
        <v>8490</v>
      </c>
      <c r="G13" s="51">
        <f>KOSZTY!H42</f>
        <v>8540</v>
      </c>
      <c r="H13" s="51">
        <f>KOSZTY!I42</f>
        <v>8600</v>
      </c>
      <c r="I13" s="51">
        <f>KOSZTY!J42</f>
        <v>8690</v>
      </c>
      <c r="J13" s="51">
        <f>KOSZTY!K42</f>
        <v>8810</v>
      </c>
      <c r="K13" s="51">
        <f>KOSZTY!L42</f>
        <v>8880</v>
      </c>
      <c r="L13" s="51">
        <f>KOSZTY!M42</f>
        <v>8955</v>
      </c>
      <c r="M13" s="51">
        <f>KOSZTY!N42</f>
        <v>9050</v>
      </c>
      <c r="N13" s="51">
        <f>KOSZTY!O42</f>
        <v>9170</v>
      </c>
      <c r="O13" s="51">
        <f>KOSZTY!P42</f>
        <v>9270</v>
      </c>
      <c r="P13" s="51">
        <f>KOSZTY!Q42</f>
        <v>9350</v>
      </c>
      <c r="Q13" s="51">
        <f>KOSZTY!R42</f>
        <v>9420</v>
      </c>
      <c r="R13" s="51">
        <f>KOSZTY!S42</f>
        <v>9470</v>
      </c>
      <c r="S13" s="51">
        <f>KOSZTY!T42</f>
        <v>9510</v>
      </c>
      <c r="T13" s="51">
        <f>KOSZTY!U42</f>
        <v>9575</v>
      </c>
      <c r="U13" s="51">
        <f>KOSZTY!V42</f>
        <v>9640</v>
      </c>
      <c r="V13" s="51">
        <f>KOSZTY!W42</f>
        <v>9745</v>
      </c>
      <c r="W13" s="51">
        <f>KOSZTY!X42</f>
        <v>9740</v>
      </c>
    </row>
    <row r="14" spans="1:23" ht="12.75">
      <c r="A14" s="48" t="s">
        <v>135</v>
      </c>
      <c r="B14" s="49">
        <v>1268.20985</v>
      </c>
      <c r="C14" s="49">
        <v>1605.9999999999998</v>
      </c>
      <c r="D14" s="49">
        <v>1667.5</v>
      </c>
      <c r="E14" s="51">
        <f>KOSZTY!F45</f>
        <v>1690.979</v>
      </c>
      <c r="F14" s="51">
        <f>KOSZTY!G45</f>
        <v>1695.4050000000002</v>
      </c>
      <c r="G14" s="51">
        <f>KOSZTY!H45</f>
        <v>1701.8</v>
      </c>
      <c r="H14" s="51">
        <f>KOSZTY!I45</f>
        <v>1712.425</v>
      </c>
      <c r="I14" s="51">
        <f>KOSZTY!J45</f>
        <v>1670.7350000000001</v>
      </c>
      <c r="J14" s="51">
        <f>KOSZTY!K45</f>
        <v>1690.985</v>
      </c>
      <c r="K14" s="51">
        <f>KOSZTY!L45</f>
        <v>1699.265</v>
      </c>
      <c r="L14" s="51">
        <f>KOSZTY!M45</f>
        <v>1711.335</v>
      </c>
      <c r="M14" s="51">
        <f>KOSZTY!N45</f>
        <v>1725.5</v>
      </c>
      <c r="N14" s="51">
        <f>KOSZTY!O45</f>
        <v>1741.86</v>
      </c>
      <c r="O14" s="51">
        <f>KOSZTY!P45</f>
        <v>1754.13</v>
      </c>
      <c r="P14" s="51">
        <f>KOSZTY!Q45</f>
        <v>1766.6</v>
      </c>
      <c r="Q14" s="51">
        <f>KOSZTY!R45</f>
        <v>1775.08</v>
      </c>
      <c r="R14" s="51">
        <f>KOSZTY!S45</f>
        <v>1783.46</v>
      </c>
      <c r="S14" s="51">
        <f>KOSZTY!T45</f>
        <v>1790.045</v>
      </c>
      <c r="T14" s="51">
        <f>KOSZTY!U45</f>
        <v>1798.525</v>
      </c>
      <c r="U14" s="51">
        <f>KOSZTY!V45</f>
        <v>1807.105</v>
      </c>
      <c r="V14" s="51">
        <f>KOSZTY!W45</f>
        <v>1823.965</v>
      </c>
      <c r="W14" s="51">
        <f>KOSZTY!X45</f>
        <v>1820.475</v>
      </c>
    </row>
    <row r="15" spans="1:23" ht="12.75">
      <c r="A15" s="48" t="s">
        <v>136</v>
      </c>
      <c r="B15" s="49">
        <v>240.92888</v>
      </c>
      <c r="C15" s="49">
        <v>291.5</v>
      </c>
      <c r="D15" s="49">
        <v>282.7</v>
      </c>
      <c r="E15" s="51">
        <f>KOSZTY!F49</f>
        <v>294</v>
      </c>
      <c r="F15" s="51">
        <f>KOSZTY!G49</f>
        <v>301</v>
      </c>
      <c r="G15" s="51">
        <f>KOSZTY!H49</f>
        <v>304</v>
      </c>
      <c r="H15" s="51">
        <f>KOSZTY!I49</f>
        <v>310</v>
      </c>
      <c r="I15" s="51">
        <f>KOSZTY!J49</f>
        <v>328</v>
      </c>
      <c r="J15" s="51">
        <f>KOSZTY!K49</f>
        <v>335</v>
      </c>
      <c r="K15" s="51">
        <f>KOSZTY!L49</f>
        <v>352</v>
      </c>
      <c r="L15" s="51">
        <f>KOSZTY!M49</f>
        <v>361</v>
      </c>
      <c r="M15" s="51">
        <f>KOSZTY!N49</f>
        <v>370</v>
      </c>
      <c r="N15" s="51">
        <f>KOSZTY!O49</f>
        <v>382</v>
      </c>
      <c r="O15" s="51">
        <f>KOSZTY!P49</f>
        <v>395</v>
      </c>
      <c r="P15" s="51">
        <f>KOSZTY!Q49</f>
        <v>407</v>
      </c>
      <c r="Q15" s="51">
        <f>KOSZTY!R49</f>
        <v>422</v>
      </c>
      <c r="R15" s="51">
        <f>KOSZTY!S49</f>
        <v>429</v>
      </c>
      <c r="S15" s="51">
        <f>KOSZTY!T49</f>
        <v>441</v>
      </c>
      <c r="T15" s="51">
        <f>KOSZTY!U49</f>
        <v>450</v>
      </c>
      <c r="U15" s="51">
        <f>KOSZTY!V49</f>
        <v>461</v>
      </c>
      <c r="V15" s="51">
        <f>KOSZTY!W49</f>
        <v>466</v>
      </c>
      <c r="W15" s="51">
        <f>KOSZTY!X49</f>
        <v>474</v>
      </c>
    </row>
    <row r="16" spans="1:23" ht="12.75">
      <c r="A16" s="48" t="s">
        <v>137</v>
      </c>
      <c r="B16" s="49">
        <v>0</v>
      </c>
      <c r="C16" s="49">
        <v>0</v>
      </c>
      <c r="D16" s="49">
        <v>0</v>
      </c>
      <c r="E16" s="51">
        <v>0</v>
      </c>
      <c r="F16" s="51">
        <v>0</v>
      </c>
      <c r="G16" s="51">
        <v>0</v>
      </c>
      <c r="H16" s="51">
        <v>0</v>
      </c>
      <c r="I16" s="51">
        <v>0</v>
      </c>
      <c r="J16" s="51">
        <v>0</v>
      </c>
      <c r="K16" s="51">
        <v>0</v>
      </c>
      <c r="L16" s="51">
        <v>0</v>
      </c>
      <c r="M16" s="51">
        <v>0</v>
      </c>
      <c r="N16" s="51">
        <v>0</v>
      </c>
      <c r="O16" s="51">
        <v>0</v>
      </c>
      <c r="P16" s="51">
        <v>0</v>
      </c>
      <c r="Q16" s="51">
        <v>0</v>
      </c>
      <c r="R16" s="51">
        <v>0</v>
      </c>
      <c r="S16" s="51">
        <v>0</v>
      </c>
      <c r="T16" s="51">
        <v>0</v>
      </c>
      <c r="U16" s="51">
        <v>0</v>
      </c>
      <c r="V16" s="51">
        <v>0</v>
      </c>
      <c r="W16" s="51">
        <v>0</v>
      </c>
    </row>
    <row r="17" spans="1:23" ht="12.75">
      <c r="A17" s="48" t="s">
        <v>138</v>
      </c>
      <c r="B17" s="49">
        <v>-2393.7459799999997</v>
      </c>
      <c r="C17" s="49">
        <v>229.92495000000417</v>
      </c>
      <c r="D17" s="49">
        <v>724.2199599999985</v>
      </c>
      <c r="E17" s="50">
        <f aca="true" t="shared" si="4" ref="E17:K17">E5-E8</f>
        <v>977.0210000000006</v>
      </c>
      <c r="F17" s="50">
        <f t="shared" si="4"/>
        <v>1252.5950000000012</v>
      </c>
      <c r="G17" s="50">
        <f t="shared" si="4"/>
        <v>1061.2000000000007</v>
      </c>
      <c r="H17" s="50">
        <f t="shared" si="4"/>
        <v>987.5750000000007</v>
      </c>
      <c r="I17" s="50">
        <f t="shared" si="4"/>
        <v>979.2649999999994</v>
      </c>
      <c r="J17" s="50">
        <f t="shared" si="4"/>
        <v>995.0149999999994</v>
      </c>
      <c r="K17" s="50">
        <f t="shared" si="4"/>
        <v>983.7350000000006</v>
      </c>
      <c r="L17" s="50">
        <f aca="true" t="shared" si="5" ref="L17:W17">L5-L8</f>
        <v>1043.6650000000009</v>
      </c>
      <c r="M17" s="50">
        <f t="shared" si="5"/>
        <v>1059.5</v>
      </c>
      <c r="N17" s="50">
        <f t="shared" si="5"/>
        <v>1100.1399999999994</v>
      </c>
      <c r="O17" s="50">
        <f t="shared" si="5"/>
        <v>1097.8699999999953</v>
      </c>
      <c r="P17" s="50">
        <f t="shared" si="5"/>
        <v>1037.4000000000015</v>
      </c>
      <c r="Q17" s="50">
        <f t="shared" si="5"/>
        <v>1005.9199999999983</v>
      </c>
      <c r="R17" s="50">
        <f t="shared" si="5"/>
        <v>1048.5400000000009</v>
      </c>
      <c r="S17" s="50">
        <f t="shared" si="5"/>
        <v>1086.9550000000017</v>
      </c>
      <c r="T17" s="50">
        <f t="shared" si="5"/>
        <v>1038.4749999999985</v>
      </c>
      <c r="U17" s="50">
        <f t="shared" si="5"/>
        <v>1072.8949999999968</v>
      </c>
      <c r="V17" s="50">
        <f t="shared" si="5"/>
        <v>1082.0350000000035</v>
      </c>
      <c r="W17" s="50">
        <f t="shared" si="5"/>
        <v>1178.5250000000015</v>
      </c>
    </row>
    <row r="18" spans="1:23" ht="12.75">
      <c r="A18" s="48" t="s">
        <v>139</v>
      </c>
      <c r="B18" s="49">
        <v>717.23291</v>
      </c>
      <c r="C18" s="49">
        <v>1164</v>
      </c>
      <c r="D18" s="49">
        <v>1337.88</v>
      </c>
      <c r="E18" s="50">
        <f aca="true" t="shared" si="6" ref="E18:K18">E19+E20</f>
        <v>1960</v>
      </c>
      <c r="F18" s="50">
        <f t="shared" si="6"/>
        <v>1960</v>
      </c>
      <c r="G18" s="50">
        <f t="shared" si="6"/>
        <v>1960</v>
      </c>
      <c r="H18" s="50">
        <f t="shared" si="6"/>
        <v>1618.12</v>
      </c>
      <c r="I18" s="50">
        <f t="shared" si="6"/>
        <v>1495</v>
      </c>
      <c r="J18" s="50">
        <f t="shared" si="6"/>
        <v>1495</v>
      </c>
      <c r="K18" s="50">
        <f t="shared" si="6"/>
        <v>1495</v>
      </c>
      <c r="L18" s="50">
        <f aca="true" t="shared" si="7" ref="L18:W18">L19+L20</f>
        <v>1495</v>
      </c>
      <c r="M18" s="50">
        <f t="shared" si="7"/>
        <v>1495</v>
      </c>
      <c r="N18" s="50">
        <f t="shared" si="7"/>
        <v>1495</v>
      </c>
      <c r="O18" s="50">
        <f t="shared" si="7"/>
        <v>1495</v>
      </c>
      <c r="P18" s="50">
        <f t="shared" si="7"/>
        <v>1495</v>
      </c>
      <c r="Q18" s="50">
        <f t="shared" si="7"/>
        <v>1495</v>
      </c>
      <c r="R18" s="50">
        <f t="shared" si="7"/>
        <v>1495</v>
      </c>
      <c r="S18" s="50">
        <f t="shared" si="7"/>
        <v>1500</v>
      </c>
      <c r="T18" s="50">
        <f t="shared" si="7"/>
        <v>1500</v>
      </c>
      <c r="U18" s="50">
        <f t="shared" si="7"/>
        <v>1500</v>
      </c>
      <c r="V18" s="50">
        <f t="shared" si="7"/>
        <v>1500</v>
      </c>
      <c r="W18" s="50">
        <f t="shared" si="7"/>
        <v>1500</v>
      </c>
    </row>
    <row r="19" spans="1:23" ht="12.75">
      <c r="A19" s="48" t="s">
        <v>140</v>
      </c>
      <c r="B19" s="52"/>
      <c r="C19" s="52"/>
      <c r="D19" s="52">
        <v>341.88</v>
      </c>
      <c r="E19" s="53">
        <v>960</v>
      </c>
      <c r="F19" s="53">
        <v>960</v>
      </c>
      <c r="G19" s="53">
        <f>960</f>
        <v>960</v>
      </c>
      <c r="H19" s="53">
        <f>G19-D19</f>
        <v>618.12</v>
      </c>
      <c r="I19" s="53">
        <v>495</v>
      </c>
      <c r="J19" s="53">
        <v>495</v>
      </c>
      <c r="K19" s="53">
        <v>495</v>
      </c>
      <c r="L19" s="53">
        <v>495</v>
      </c>
      <c r="M19" s="53">
        <v>495</v>
      </c>
      <c r="N19" s="53">
        <v>495</v>
      </c>
      <c r="O19" s="53">
        <v>495</v>
      </c>
      <c r="P19" s="53">
        <v>495</v>
      </c>
      <c r="Q19" s="53">
        <v>495</v>
      </c>
      <c r="R19" s="53">
        <v>495</v>
      </c>
      <c r="S19" s="53">
        <v>500</v>
      </c>
      <c r="T19" s="53">
        <v>500</v>
      </c>
      <c r="U19" s="53">
        <v>500</v>
      </c>
      <c r="V19" s="53">
        <v>500</v>
      </c>
      <c r="W19" s="53">
        <v>500</v>
      </c>
    </row>
    <row r="20" spans="1:23" ht="12.75">
      <c r="A20" s="48" t="s">
        <v>141</v>
      </c>
      <c r="B20" s="49">
        <v>717.23291</v>
      </c>
      <c r="C20" s="49">
        <v>1164</v>
      </c>
      <c r="D20" s="49">
        <v>996</v>
      </c>
      <c r="E20" s="51">
        <v>1000</v>
      </c>
      <c r="F20" s="51">
        <v>1000</v>
      </c>
      <c r="G20" s="51">
        <v>1000</v>
      </c>
      <c r="H20" s="51">
        <v>1000</v>
      </c>
      <c r="I20" s="51">
        <v>1000</v>
      </c>
      <c r="J20" s="51">
        <v>1000</v>
      </c>
      <c r="K20" s="51">
        <v>1000</v>
      </c>
      <c r="L20" s="51">
        <v>1000</v>
      </c>
      <c r="M20" s="51">
        <v>1000</v>
      </c>
      <c r="N20" s="51">
        <v>1000</v>
      </c>
      <c r="O20" s="51">
        <v>1000</v>
      </c>
      <c r="P20" s="51">
        <v>1000</v>
      </c>
      <c r="Q20" s="51">
        <v>1000</v>
      </c>
      <c r="R20" s="51">
        <v>1000</v>
      </c>
      <c r="S20" s="51">
        <v>1000</v>
      </c>
      <c r="T20" s="51">
        <v>1000</v>
      </c>
      <c r="U20" s="51">
        <v>1000</v>
      </c>
      <c r="V20" s="51">
        <v>1000</v>
      </c>
      <c r="W20" s="51">
        <v>1000</v>
      </c>
    </row>
    <row r="21" spans="1:23" ht="12.75">
      <c r="A21" s="48" t="s">
        <v>142</v>
      </c>
      <c r="B21" s="49">
        <v>30.63703</v>
      </c>
      <c r="C21" s="49">
        <v>9.600000000000001</v>
      </c>
      <c r="D21" s="49">
        <v>11.4</v>
      </c>
      <c r="E21" s="51">
        <v>10</v>
      </c>
      <c r="F21" s="51">
        <v>10</v>
      </c>
      <c r="G21" s="51">
        <v>10</v>
      </c>
      <c r="H21" s="51">
        <v>10</v>
      </c>
      <c r="I21" s="51">
        <v>10</v>
      </c>
      <c r="J21" s="51">
        <v>10</v>
      </c>
      <c r="K21" s="51">
        <v>10</v>
      </c>
      <c r="L21" s="51">
        <v>10</v>
      </c>
      <c r="M21" s="51">
        <v>10</v>
      </c>
      <c r="N21" s="51">
        <v>10</v>
      </c>
      <c r="O21" s="51">
        <v>10</v>
      </c>
      <c r="P21" s="51">
        <v>10</v>
      </c>
      <c r="Q21" s="51">
        <v>10</v>
      </c>
      <c r="R21" s="51">
        <v>10</v>
      </c>
      <c r="S21" s="51">
        <v>10</v>
      </c>
      <c r="T21" s="51">
        <v>10</v>
      </c>
      <c r="U21" s="51">
        <v>10</v>
      </c>
      <c r="V21" s="51">
        <v>10</v>
      </c>
      <c r="W21" s="51">
        <v>10</v>
      </c>
    </row>
    <row r="22" spans="1:23" ht="12.75">
      <c r="A22" s="48" t="s">
        <v>143</v>
      </c>
      <c r="B22" s="49">
        <v>-1707.1500999999998</v>
      </c>
      <c r="C22" s="49">
        <v>1384.3249500000043</v>
      </c>
      <c r="D22" s="49">
        <v>2050.6999599999986</v>
      </c>
      <c r="E22" s="50">
        <f aca="true" t="shared" si="8" ref="E22:K22">E17+E18-E21</f>
        <v>2927.0210000000006</v>
      </c>
      <c r="F22" s="50">
        <f t="shared" si="8"/>
        <v>3202.595000000001</v>
      </c>
      <c r="G22" s="50">
        <f t="shared" si="8"/>
        <v>3011.2000000000007</v>
      </c>
      <c r="H22" s="50">
        <f t="shared" si="8"/>
        <v>2595.6950000000006</v>
      </c>
      <c r="I22" s="50">
        <f t="shared" si="8"/>
        <v>2464.2649999999994</v>
      </c>
      <c r="J22" s="50">
        <f t="shared" si="8"/>
        <v>2480.0149999999994</v>
      </c>
      <c r="K22" s="50">
        <f t="shared" si="8"/>
        <v>2468.7350000000006</v>
      </c>
      <c r="L22" s="50">
        <f aca="true" t="shared" si="9" ref="L22:W22">L17+L18-L21</f>
        <v>2528.665000000001</v>
      </c>
      <c r="M22" s="50">
        <f t="shared" si="9"/>
        <v>2544.5</v>
      </c>
      <c r="N22" s="50">
        <f t="shared" si="9"/>
        <v>2585.1399999999994</v>
      </c>
      <c r="O22" s="50">
        <f t="shared" si="9"/>
        <v>2582.8699999999953</v>
      </c>
      <c r="P22" s="50">
        <f t="shared" si="9"/>
        <v>2522.4000000000015</v>
      </c>
      <c r="Q22" s="50">
        <f t="shared" si="9"/>
        <v>2490.9199999999983</v>
      </c>
      <c r="R22" s="50">
        <f t="shared" si="9"/>
        <v>2533.540000000001</v>
      </c>
      <c r="S22" s="50">
        <f t="shared" si="9"/>
        <v>2576.9550000000017</v>
      </c>
      <c r="T22" s="50">
        <f t="shared" si="9"/>
        <v>2528.4749999999985</v>
      </c>
      <c r="U22" s="50">
        <f t="shared" si="9"/>
        <v>2562.894999999997</v>
      </c>
      <c r="V22" s="50">
        <f t="shared" si="9"/>
        <v>2572.0350000000035</v>
      </c>
      <c r="W22" s="50">
        <f t="shared" si="9"/>
        <v>2668.5250000000015</v>
      </c>
    </row>
    <row r="23" spans="1:23" ht="12.75">
      <c r="A23" s="48" t="s">
        <v>144</v>
      </c>
      <c r="B23" s="49">
        <v>0.21932000000000001</v>
      </c>
      <c r="C23" s="49">
        <v>1.2</v>
      </c>
      <c r="D23" s="49">
        <v>1.2</v>
      </c>
      <c r="E23" s="51">
        <v>1</v>
      </c>
      <c r="F23" s="51">
        <v>1</v>
      </c>
      <c r="G23" s="51">
        <v>1</v>
      </c>
      <c r="H23" s="51">
        <v>1</v>
      </c>
      <c r="I23" s="51">
        <v>1</v>
      </c>
      <c r="J23" s="51">
        <v>1</v>
      </c>
      <c r="K23" s="51">
        <v>1</v>
      </c>
      <c r="L23" s="51">
        <v>1</v>
      </c>
      <c r="M23" s="51">
        <v>1</v>
      </c>
      <c r="N23" s="51">
        <v>1</v>
      </c>
      <c r="O23" s="51">
        <v>1</v>
      </c>
      <c r="P23" s="51">
        <v>1</v>
      </c>
      <c r="Q23" s="51">
        <v>1</v>
      </c>
      <c r="R23" s="51">
        <v>1</v>
      </c>
      <c r="S23" s="51">
        <v>1</v>
      </c>
      <c r="T23" s="51">
        <v>1</v>
      </c>
      <c r="U23" s="51">
        <v>1</v>
      </c>
      <c r="V23" s="51">
        <v>1</v>
      </c>
      <c r="W23" s="51">
        <v>1</v>
      </c>
    </row>
    <row r="24" spans="1:23" ht="12.75">
      <c r="A24" s="48" t="s">
        <v>145</v>
      </c>
      <c r="B24" s="49">
        <v>47.00724</v>
      </c>
      <c r="C24" s="49">
        <v>124.00000000000001</v>
      </c>
      <c r="D24" s="49">
        <v>419.5587490883333</v>
      </c>
      <c r="E24" s="51">
        <f>KOSZTY!F54</f>
        <v>614</v>
      </c>
      <c r="F24" s="51">
        <f>KOSZTY!G54</f>
        <v>594</v>
      </c>
      <c r="G24" s="51">
        <f>KOSZTY!H54</f>
        <v>574</v>
      </c>
      <c r="H24" s="51">
        <f>KOSZTY!I54</f>
        <v>569</v>
      </c>
      <c r="I24" s="51">
        <f>KOSZTY!J54</f>
        <v>549</v>
      </c>
      <c r="J24" s="51">
        <f>KOSZTY!K54</f>
        <v>528</v>
      </c>
      <c r="K24" s="51">
        <f>KOSZTY!L54</f>
        <v>515</v>
      </c>
      <c r="L24" s="51">
        <f>KOSZTY!M54</f>
        <v>493</v>
      </c>
      <c r="M24" s="51">
        <f>KOSZTY!N54</f>
        <v>473</v>
      </c>
      <c r="N24" s="51">
        <f>KOSZTY!O54</f>
        <v>455</v>
      </c>
      <c r="O24" s="51">
        <f>KOSZTY!P54</f>
        <v>433</v>
      </c>
      <c r="P24" s="51">
        <f>KOSZTY!Q54</f>
        <v>409</v>
      </c>
      <c r="Q24" s="51">
        <f>KOSZTY!R54</f>
        <v>382</v>
      </c>
      <c r="R24" s="51">
        <f>KOSZTY!S54</f>
        <v>354</v>
      </c>
      <c r="S24" s="51">
        <f>KOSZTY!T54</f>
        <v>324</v>
      </c>
      <c r="T24" s="51">
        <f>KOSZTY!U54</f>
        <v>292</v>
      </c>
      <c r="U24" s="51">
        <f>KOSZTY!V54</f>
        <v>259</v>
      </c>
      <c r="V24" s="51">
        <f>KOSZTY!W54</f>
        <v>223</v>
      </c>
      <c r="W24" s="51">
        <f>KOSZTY!X54</f>
        <v>190</v>
      </c>
    </row>
    <row r="25" spans="1:23" ht="12.75">
      <c r="A25" s="48" t="s">
        <v>146</v>
      </c>
      <c r="B25" s="49">
        <v>-1753.9380199999998</v>
      </c>
      <c r="C25" s="49">
        <v>1261.5249500000043</v>
      </c>
      <c r="D25" s="49">
        <v>1632.341210911665</v>
      </c>
      <c r="E25" s="50">
        <f aca="true" t="shared" si="10" ref="E25:W25">E22+E23-E24</f>
        <v>2314.0210000000006</v>
      </c>
      <c r="F25" s="50">
        <f t="shared" si="10"/>
        <v>2609.595000000001</v>
      </c>
      <c r="G25" s="50">
        <f t="shared" si="10"/>
        <v>2438.2000000000007</v>
      </c>
      <c r="H25" s="50">
        <f t="shared" si="10"/>
        <v>2027.6950000000006</v>
      </c>
      <c r="I25" s="50">
        <f t="shared" si="10"/>
        <v>1916.2649999999994</v>
      </c>
      <c r="J25" s="50">
        <f t="shared" si="10"/>
        <v>1953.0149999999994</v>
      </c>
      <c r="K25" s="50">
        <f t="shared" si="10"/>
        <v>1954.7350000000006</v>
      </c>
      <c r="L25" s="50">
        <f t="shared" si="10"/>
        <v>2036.6650000000009</v>
      </c>
      <c r="M25" s="50">
        <f t="shared" si="10"/>
        <v>2072.5</v>
      </c>
      <c r="N25" s="50">
        <f t="shared" si="10"/>
        <v>2131.1399999999994</v>
      </c>
      <c r="O25" s="50">
        <f t="shared" si="10"/>
        <v>2150.8699999999953</v>
      </c>
      <c r="P25" s="50">
        <f t="shared" si="10"/>
        <v>2114.4000000000015</v>
      </c>
      <c r="Q25" s="50">
        <f t="shared" si="10"/>
        <v>2109.9199999999983</v>
      </c>
      <c r="R25" s="50">
        <f t="shared" si="10"/>
        <v>2180.540000000001</v>
      </c>
      <c r="S25" s="50">
        <f t="shared" si="10"/>
        <v>2253.9550000000017</v>
      </c>
      <c r="T25" s="50">
        <f t="shared" si="10"/>
        <v>2237.4749999999985</v>
      </c>
      <c r="U25" s="50">
        <f t="shared" si="10"/>
        <v>2304.894999999997</v>
      </c>
      <c r="V25" s="50">
        <f t="shared" si="10"/>
        <v>2350.0350000000035</v>
      </c>
      <c r="W25" s="50">
        <f t="shared" si="10"/>
        <v>2479.5250000000015</v>
      </c>
    </row>
    <row r="26" spans="1:23" ht="12.75">
      <c r="A26" s="48" t="s">
        <v>147</v>
      </c>
      <c r="B26" s="49">
        <v>0</v>
      </c>
      <c r="C26" s="49">
        <v>0</v>
      </c>
      <c r="D26" s="49"/>
      <c r="E26" s="51">
        <v>0</v>
      </c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51">
        <v>0</v>
      </c>
      <c r="M26" s="51">
        <v>0</v>
      </c>
      <c r="N26" s="51">
        <v>0</v>
      </c>
      <c r="O26" s="51">
        <v>0</v>
      </c>
      <c r="P26" s="51">
        <v>0</v>
      </c>
      <c r="Q26" s="51">
        <v>0</v>
      </c>
      <c r="R26" s="51">
        <v>0</v>
      </c>
      <c r="S26" s="51">
        <v>0</v>
      </c>
      <c r="T26" s="51">
        <v>0</v>
      </c>
      <c r="U26" s="51">
        <v>0</v>
      </c>
      <c r="V26" s="51">
        <v>0</v>
      </c>
      <c r="W26" s="51">
        <v>0</v>
      </c>
    </row>
    <row r="27" spans="1:23" ht="12.75">
      <c r="A27" s="48" t="s">
        <v>148</v>
      </c>
      <c r="B27" s="49">
        <v>-1753.9380199999998</v>
      </c>
      <c r="C27" s="49">
        <v>1261.5249500000043</v>
      </c>
      <c r="D27" s="49">
        <v>1632.341210911665</v>
      </c>
      <c r="E27" s="50">
        <f aca="true" t="shared" si="11" ref="E27:W27">E25-E26</f>
        <v>2314.0210000000006</v>
      </c>
      <c r="F27" s="50">
        <f t="shared" si="11"/>
        <v>2609.595000000001</v>
      </c>
      <c r="G27" s="50">
        <f t="shared" si="11"/>
        <v>2438.2000000000007</v>
      </c>
      <c r="H27" s="50">
        <f t="shared" si="11"/>
        <v>2027.6950000000006</v>
      </c>
      <c r="I27" s="50">
        <f t="shared" si="11"/>
        <v>1916.2649999999994</v>
      </c>
      <c r="J27" s="50">
        <f t="shared" si="11"/>
        <v>1953.0149999999994</v>
      </c>
      <c r="K27" s="50">
        <f t="shared" si="11"/>
        <v>1954.7350000000006</v>
      </c>
      <c r="L27" s="50">
        <f t="shared" si="11"/>
        <v>2036.6650000000009</v>
      </c>
      <c r="M27" s="50">
        <f t="shared" si="11"/>
        <v>2072.5</v>
      </c>
      <c r="N27" s="50">
        <f t="shared" si="11"/>
        <v>2131.1399999999994</v>
      </c>
      <c r="O27" s="50">
        <f t="shared" si="11"/>
        <v>2150.8699999999953</v>
      </c>
      <c r="P27" s="50">
        <f t="shared" si="11"/>
        <v>2114.4000000000015</v>
      </c>
      <c r="Q27" s="50">
        <f t="shared" si="11"/>
        <v>2109.9199999999983</v>
      </c>
      <c r="R27" s="50">
        <f t="shared" si="11"/>
        <v>2180.540000000001</v>
      </c>
      <c r="S27" s="50">
        <f t="shared" si="11"/>
        <v>2253.9550000000017</v>
      </c>
      <c r="T27" s="50">
        <f t="shared" si="11"/>
        <v>2237.4749999999985</v>
      </c>
      <c r="U27" s="50">
        <f t="shared" si="11"/>
        <v>2304.894999999997</v>
      </c>
      <c r="V27" s="50">
        <f t="shared" si="11"/>
        <v>2350.0350000000035</v>
      </c>
      <c r="W27" s="50">
        <f t="shared" si="11"/>
        <v>2479.5250000000015</v>
      </c>
    </row>
    <row r="28" spans="1:23" ht="12.75">
      <c r="A28" s="48" t="s">
        <v>149</v>
      </c>
      <c r="B28" s="49"/>
      <c r="C28" s="49"/>
      <c r="D28" s="49"/>
      <c r="E28" s="51">
        <v>0</v>
      </c>
      <c r="F28" s="51">
        <v>0</v>
      </c>
      <c r="G28" s="51">
        <v>0</v>
      </c>
      <c r="H28" s="51">
        <v>0</v>
      </c>
      <c r="I28" s="51">
        <v>0</v>
      </c>
      <c r="J28" s="51">
        <v>0</v>
      </c>
      <c r="K28" s="51">
        <v>0</v>
      </c>
      <c r="L28" s="51">
        <v>0</v>
      </c>
      <c r="M28" s="51">
        <v>0</v>
      </c>
      <c r="N28" s="51">
        <v>0</v>
      </c>
      <c r="O28" s="51">
        <v>0</v>
      </c>
      <c r="P28" s="51">
        <v>0</v>
      </c>
      <c r="Q28" s="51">
        <v>0</v>
      </c>
      <c r="R28" s="51">
        <v>0</v>
      </c>
      <c r="S28" s="51">
        <v>0</v>
      </c>
      <c r="T28" s="51">
        <v>0</v>
      </c>
      <c r="U28" s="51">
        <v>0</v>
      </c>
      <c r="V28" s="51">
        <v>0</v>
      </c>
      <c r="W28" s="51">
        <v>0</v>
      </c>
    </row>
    <row r="29" spans="1:23" ht="12.75">
      <c r="A29" s="48" t="s">
        <v>150</v>
      </c>
      <c r="B29" s="49"/>
      <c r="C29" s="49"/>
      <c r="D29" s="49"/>
      <c r="E29" s="51">
        <v>0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1">
        <v>0</v>
      </c>
      <c r="M29" s="51">
        <v>0</v>
      </c>
      <c r="N29" s="51">
        <v>0</v>
      </c>
      <c r="O29" s="51">
        <v>0</v>
      </c>
      <c r="P29" s="51">
        <v>0</v>
      </c>
      <c r="Q29" s="51">
        <v>0</v>
      </c>
      <c r="R29" s="51">
        <v>0</v>
      </c>
      <c r="S29" s="51">
        <v>0</v>
      </c>
      <c r="T29" s="51">
        <v>0</v>
      </c>
      <c r="U29" s="51">
        <v>0</v>
      </c>
      <c r="V29" s="51">
        <v>0</v>
      </c>
      <c r="W29" s="51">
        <v>0</v>
      </c>
    </row>
    <row r="30" spans="1:23" ht="12.75">
      <c r="A30" s="48" t="s">
        <v>151</v>
      </c>
      <c r="B30" s="49">
        <v>-1753.9380199999998</v>
      </c>
      <c r="C30" s="49">
        <v>1261.5249500000043</v>
      </c>
      <c r="D30" s="49">
        <v>1632.341210911665</v>
      </c>
      <c r="E30" s="50">
        <f aca="true" t="shared" si="12" ref="E30:W30">E27-E28-E29</f>
        <v>2314.0210000000006</v>
      </c>
      <c r="F30" s="50">
        <f t="shared" si="12"/>
        <v>2609.595000000001</v>
      </c>
      <c r="G30" s="50">
        <f t="shared" si="12"/>
        <v>2438.2000000000007</v>
      </c>
      <c r="H30" s="50">
        <f t="shared" si="12"/>
        <v>2027.6950000000006</v>
      </c>
      <c r="I30" s="50">
        <f t="shared" si="12"/>
        <v>1916.2649999999994</v>
      </c>
      <c r="J30" s="50">
        <f t="shared" si="12"/>
        <v>1953.0149999999994</v>
      </c>
      <c r="K30" s="50">
        <f t="shared" si="12"/>
        <v>1954.7350000000006</v>
      </c>
      <c r="L30" s="50">
        <f t="shared" si="12"/>
        <v>2036.6650000000009</v>
      </c>
      <c r="M30" s="50">
        <f t="shared" si="12"/>
        <v>2072.5</v>
      </c>
      <c r="N30" s="50">
        <f t="shared" si="12"/>
        <v>2131.1399999999994</v>
      </c>
      <c r="O30" s="50">
        <f t="shared" si="12"/>
        <v>2150.8699999999953</v>
      </c>
      <c r="P30" s="50">
        <f t="shared" si="12"/>
        <v>2114.4000000000015</v>
      </c>
      <c r="Q30" s="50">
        <f t="shared" si="12"/>
        <v>2109.9199999999983</v>
      </c>
      <c r="R30" s="50">
        <f t="shared" si="12"/>
        <v>2180.540000000001</v>
      </c>
      <c r="S30" s="50">
        <f t="shared" si="12"/>
        <v>2253.9550000000017</v>
      </c>
      <c r="T30" s="50">
        <f t="shared" si="12"/>
        <v>2237.4749999999985</v>
      </c>
      <c r="U30" s="50">
        <f t="shared" si="12"/>
        <v>2304.894999999997</v>
      </c>
      <c r="V30" s="50">
        <f t="shared" si="12"/>
        <v>2350.0350000000035</v>
      </c>
      <c r="W30" s="50">
        <f t="shared" si="12"/>
        <v>2479.5250000000015</v>
      </c>
    </row>
  </sheetData>
  <sheetProtection selectLockedCells="1" selectUnlockedCells="1"/>
  <mergeCells count="26">
    <mergeCell ref="A1:W1"/>
    <mergeCell ref="C2:D2"/>
    <mergeCell ref="E2:W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</mergeCells>
  <printOptions horizontalCentered="1" verticalCentered="1"/>
  <pageMargins left="0.7083333333333334" right="0.7083333333333334" top="0.7479166666666667" bottom="0.7486111111111111" header="0.31527777777777777" footer="0.31527777777777777"/>
  <pageSetup horizontalDpi="300" verticalDpi="300" orientation="landscape" paperSize="9" scale="82"/>
  <headerFooter alignWithMargins="0">
    <oddHeader>&amp;R&amp;"Czcionka tekstu podstawowego,Regularna"&amp;11Zespół Opieki Zdrowotnej w Brodnicy</oddHeader>
    <oddFooter>&amp;C&amp;"Czcionka tekstu podstawowego,Regularna"&amp;11Lech Consulting Sp. z o.o.
www.LC.net.pl</oddFooter>
  </headerFooter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9"/>
  <sheetViews>
    <sheetView showGridLines="0" view="pageBreakPreview" zoomScale="90" zoomScaleNormal="80" zoomScaleSheetLayoutView="90" workbookViewId="0" topLeftCell="A1">
      <selection activeCell="W37" activeCellId="1" sqref="L37:N37 W37"/>
    </sheetView>
  </sheetViews>
  <sheetFormatPr defaultColWidth="9.140625" defaultRowHeight="12.75"/>
  <cols>
    <col min="1" max="1" width="25.57421875" style="0" customWidth="1"/>
    <col min="2" max="23" width="8.421875" style="0" customWidth="1"/>
    <col min="24" max="16384" width="9.421875" style="0" customWidth="1"/>
  </cols>
  <sheetData>
    <row r="1" spans="1:23" ht="15.75" customHeight="1">
      <c r="A1" s="46" t="s">
        <v>152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</row>
    <row r="2" spans="1:23" ht="26.25" customHeight="1">
      <c r="A2" s="46"/>
      <c r="B2" s="46"/>
      <c r="C2" s="3" t="s">
        <v>1</v>
      </c>
      <c r="D2" s="3"/>
      <c r="E2" s="3" t="s">
        <v>2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12.75" customHeight="1">
      <c r="A3" s="47" t="s">
        <v>153</v>
      </c>
      <c r="B3" s="4">
        <v>2013</v>
      </c>
      <c r="C3" s="4">
        <v>2014</v>
      </c>
      <c r="D3" s="4">
        <v>2015</v>
      </c>
      <c r="E3" s="4">
        <v>2016</v>
      </c>
      <c r="F3" s="4">
        <v>2017</v>
      </c>
      <c r="G3" s="4">
        <v>2018</v>
      </c>
      <c r="H3" s="4">
        <v>2019</v>
      </c>
      <c r="I3" s="4">
        <v>2020</v>
      </c>
      <c r="J3" s="4">
        <v>2021</v>
      </c>
      <c r="K3" s="4">
        <v>2022</v>
      </c>
      <c r="L3" s="4">
        <v>2023</v>
      </c>
      <c r="M3" s="4">
        <v>2024</v>
      </c>
      <c r="N3" s="4">
        <v>2025</v>
      </c>
      <c r="O3" s="4">
        <v>2026</v>
      </c>
      <c r="P3" s="4">
        <v>2027</v>
      </c>
      <c r="Q3" s="4">
        <v>2028</v>
      </c>
      <c r="R3" s="4">
        <v>2029</v>
      </c>
      <c r="S3" s="4">
        <v>2030</v>
      </c>
      <c r="T3" s="4">
        <v>2031</v>
      </c>
      <c r="U3" s="4">
        <v>2032</v>
      </c>
      <c r="V3" s="4">
        <v>2033</v>
      </c>
      <c r="W3" s="4">
        <v>2034</v>
      </c>
    </row>
    <row r="4" spans="1:23" ht="19.5" customHeight="1">
      <c r="A4" s="47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56" customFormat="1" ht="12.75">
      <c r="A5" s="54" t="s">
        <v>154</v>
      </c>
      <c r="B5" s="55">
        <v>12923.19814</v>
      </c>
      <c r="C5" s="55">
        <v>16969.99927</v>
      </c>
      <c r="D5" s="55">
        <v>45705.302778635756</v>
      </c>
      <c r="E5" s="55">
        <f aca="true" t="shared" si="0" ref="E5:W5">E6+E7+E13</f>
        <v>45750</v>
      </c>
      <c r="F5" s="55">
        <f t="shared" si="0"/>
        <v>45680</v>
      </c>
      <c r="G5" s="55">
        <f t="shared" si="0"/>
        <v>45685</v>
      </c>
      <c r="H5" s="55">
        <f t="shared" si="0"/>
        <v>45685</v>
      </c>
      <c r="I5" s="55">
        <f t="shared" si="0"/>
        <v>45683</v>
      </c>
      <c r="J5" s="55">
        <f t="shared" si="0"/>
        <v>45678</v>
      </c>
      <c r="K5" s="55">
        <f t="shared" si="0"/>
        <v>45670</v>
      </c>
      <c r="L5" s="55">
        <f t="shared" si="0"/>
        <v>45660</v>
      </c>
      <c r="M5" s="55">
        <f t="shared" si="0"/>
        <v>45647</v>
      </c>
      <c r="N5" s="55">
        <f t="shared" si="0"/>
        <v>45627</v>
      </c>
      <c r="O5" s="55">
        <f t="shared" si="0"/>
        <v>45602</v>
      </c>
      <c r="P5" s="55">
        <f t="shared" si="0"/>
        <v>45574</v>
      </c>
      <c r="Q5" s="55">
        <f t="shared" si="0"/>
        <v>45544</v>
      </c>
      <c r="R5" s="55">
        <f t="shared" si="0"/>
        <v>45509</v>
      </c>
      <c r="S5" s="55">
        <f t="shared" si="0"/>
        <v>45471</v>
      </c>
      <c r="T5" s="55">
        <f t="shared" si="0"/>
        <v>45429</v>
      </c>
      <c r="U5" s="55">
        <f t="shared" si="0"/>
        <v>45384</v>
      </c>
      <c r="V5" s="55">
        <f t="shared" si="0"/>
        <v>45336</v>
      </c>
      <c r="W5" s="55">
        <f t="shared" si="0"/>
        <v>45286</v>
      </c>
    </row>
    <row r="6" spans="1:23" s="30" customFormat="1" ht="12.75">
      <c r="A6" s="57" t="s">
        <v>155</v>
      </c>
      <c r="B6" s="14">
        <v>264.19288</v>
      </c>
      <c r="C6" s="14">
        <v>470</v>
      </c>
      <c r="D6" s="14">
        <v>470</v>
      </c>
      <c r="E6" s="14">
        <v>500</v>
      </c>
      <c r="F6" s="14">
        <v>500</v>
      </c>
      <c r="G6" s="14">
        <v>500</v>
      </c>
      <c r="H6" s="14">
        <v>500</v>
      </c>
      <c r="I6" s="14">
        <v>500</v>
      </c>
      <c r="J6" s="14">
        <v>500</v>
      </c>
      <c r="K6" s="14">
        <v>500</v>
      </c>
      <c r="L6" s="14">
        <v>500</v>
      </c>
      <c r="M6" s="14">
        <v>500</v>
      </c>
      <c r="N6" s="14">
        <v>500</v>
      </c>
      <c r="O6" s="14">
        <v>500</v>
      </c>
      <c r="P6" s="14">
        <v>500</v>
      </c>
      <c r="Q6" s="14">
        <v>500</v>
      </c>
      <c r="R6" s="14">
        <v>500</v>
      </c>
      <c r="S6" s="14">
        <v>500</v>
      </c>
      <c r="T6" s="14">
        <v>500</v>
      </c>
      <c r="U6" s="14">
        <v>500</v>
      </c>
      <c r="V6" s="14">
        <v>500</v>
      </c>
      <c r="W6" s="14">
        <v>500</v>
      </c>
    </row>
    <row r="7" spans="1:23" s="30" customFormat="1" ht="12.75">
      <c r="A7" s="57" t="s">
        <v>156</v>
      </c>
      <c r="B7" s="14">
        <v>12659.00526</v>
      </c>
      <c r="C7" s="14">
        <v>12500</v>
      </c>
      <c r="D7" s="14">
        <v>45235.302778635756</v>
      </c>
      <c r="E7" s="14">
        <f aca="true" t="shared" si="1" ref="E7:W7">E8+E9+E10+E11+E12</f>
        <v>45250</v>
      </c>
      <c r="F7" s="14">
        <f t="shared" si="1"/>
        <v>45180</v>
      </c>
      <c r="G7" s="14">
        <f t="shared" si="1"/>
        <v>45185</v>
      </c>
      <c r="H7" s="14">
        <f t="shared" si="1"/>
        <v>45185</v>
      </c>
      <c r="I7" s="14">
        <f t="shared" si="1"/>
        <v>45183</v>
      </c>
      <c r="J7" s="14">
        <f t="shared" si="1"/>
        <v>45178</v>
      </c>
      <c r="K7" s="14">
        <f t="shared" si="1"/>
        <v>45170</v>
      </c>
      <c r="L7" s="14">
        <f t="shared" si="1"/>
        <v>45160</v>
      </c>
      <c r="M7" s="14">
        <f t="shared" si="1"/>
        <v>45147</v>
      </c>
      <c r="N7" s="14">
        <f t="shared" si="1"/>
        <v>45127</v>
      </c>
      <c r="O7" s="14">
        <f t="shared" si="1"/>
        <v>45102</v>
      </c>
      <c r="P7" s="14">
        <f t="shared" si="1"/>
        <v>45074</v>
      </c>
      <c r="Q7" s="14">
        <f t="shared" si="1"/>
        <v>45044</v>
      </c>
      <c r="R7" s="14">
        <f t="shared" si="1"/>
        <v>45009</v>
      </c>
      <c r="S7" s="14">
        <f t="shared" si="1"/>
        <v>44971</v>
      </c>
      <c r="T7" s="14">
        <f t="shared" si="1"/>
        <v>44929</v>
      </c>
      <c r="U7" s="14">
        <f t="shared" si="1"/>
        <v>44884</v>
      </c>
      <c r="V7" s="14">
        <f t="shared" si="1"/>
        <v>44836</v>
      </c>
      <c r="W7" s="14">
        <f t="shared" si="1"/>
        <v>44786</v>
      </c>
    </row>
    <row r="8" spans="1:23" s="30" customFormat="1" ht="12.75">
      <c r="A8" s="57" t="s">
        <v>157</v>
      </c>
      <c r="B8" s="14">
        <v>0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  <c r="V8" s="14">
        <v>0</v>
      </c>
      <c r="W8" s="14">
        <v>0</v>
      </c>
    </row>
    <row r="9" spans="1:23" s="30" customFormat="1" ht="12.75">
      <c r="A9" s="57" t="s">
        <v>158</v>
      </c>
      <c r="B9" s="14">
        <v>10467.4144</v>
      </c>
      <c r="C9" s="14">
        <v>10000</v>
      </c>
      <c r="D9" s="14">
        <v>40160</v>
      </c>
      <c r="E9" s="14">
        <v>40170</v>
      </c>
      <c r="F9" s="14">
        <v>40180</v>
      </c>
      <c r="G9" s="14">
        <v>40185</v>
      </c>
      <c r="H9" s="14">
        <v>40185</v>
      </c>
      <c r="I9" s="14">
        <v>40183</v>
      </c>
      <c r="J9" s="14">
        <v>40178</v>
      </c>
      <c r="K9" s="14">
        <v>40170</v>
      </c>
      <c r="L9" s="14">
        <v>40160</v>
      </c>
      <c r="M9" s="14">
        <v>40147</v>
      </c>
      <c r="N9" s="14">
        <v>40127</v>
      </c>
      <c r="O9" s="14">
        <v>40102</v>
      </c>
      <c r="P9" s="14">
        <v>40074</v>
      </c>
      <c r="Q9" s="14">
        <v>40044</v>
      </c>
      <c r="R9" s="14">
        <v>40009</v>
      </c>
      <c r="S9" s="14">
        <v>39971</v>
      </c>
      <c r="T9" s="14">
        <v>39929</v>
      </c>
      <c r="U9" s="14">
        <v>39884</v>
      </c>
      <c r="V9" s="14">
        <v>39836</v>
      </c>
      <c r="W9" s="14">
        <v>39786</v>
      </c>
    </row>
    <row r="10" spans="1:23" s="30" customFormat="1" ht="33" customHeight="1">
      <c r="A10" s="57" t="s">
        <v>159</v>
      </c>
      <c r="B10" s="14">
        <v>799.11273</v>
      </c>
      <c r="C10" s="14">
        <v>800</v>
      </c>
      <c r="D10" s="14">
        <v>3375.3027786357598</v>
      </c>
      <c r="E10" s="14">
        <v>3380</v>
      </c>
      <c r="F10" s="14">
        <v>3300</v>
      </c>
      <c r="G10" s="14">
        <v>3300</v>
      </c>
      <c r="H10" s="14">
        <v>3300</v>
      </c>
      <c r="I10" s="14">
        <v>3300</v>
      </c>
      <c r="J10" s="14">
        <v>3300</v>
      </c>
      <c r="K10" s="14">
        <v>3300</v>
      </c>
      <c r="L10" s="14">
        <v>3300</v>
      </c>
      <c r="M10" s="14">
        <v>3300</v>
      </c>
      <c r="N10" s="14">
        <v>3300</v>
      </c>
      <c r="O10" s="14">
        <v>3300</v>
      </c>
      <c r="P10" s="14">
        <v>3300</v>
      </c>
      <c r="Q10" s="14">
        <v>3300</v>
      </c>
      <c r="R10" s="14">
        <v>3300</v>
      </c>
      <c r="S10" s="14">
        <v>3300</v>
      </c>
      <c r="T10" s="14">
        <v>3300</v>
      </c>
      <c r="U10" s="14">
        <v>3300</v>
      </c>
      <c r="V10" s="14">
        <v>3300</v>
      </c>
      <c r="W10" s="14">
        <v>3300</v>
      </c>
    </row>
    <row r="11" spans="1:23" s="30" customFormat="1" ht="12.75">
      <c r="A11" s="57" t="s">
        <v>160</v>
      </c>
      <c r="B11" s="14">
        <v>232.23713</v>
      </c>
      <c r="C11" s="14">
        <v>700</v>
      </c>
      <c r="D11" s="14">
        <v>700</v>
      </c>
      <c r="E11" s="14">
        <v>700</v>
      </c>
      <c r="F11" s="14">
        <v>700</v>
      </c>
      <c r="G11" s="14">
        <v>700</v>
      </c>
      <c r="H11" s="14">
        <v>700</v>
      </c>
      <c r="I11" s="14">
        <v>700</v>
      </c>
      <c r="J11" s="14">
        <v>700</v>
      </c>
      <c r="K11" s="14">
        <v>700</v>
      </c>
      <c r="L11" s="14">
        <v>700</v>
      </c>
      <c r="M11" s="14">
        <v>700</v>
      </c>
      <c r="N11" s="14">
        <v>700</v>
      </c>
      <c r="O11" s="14">
        <v>700</v>
      </c>
      <c r="P11" s="14">
        <v>700</v>
      </c>
      <c r="Q11" s="14">
        <v>700</v>
      </c>
      <c r="R11" s="14">
        <v>700</v>
      </c>
      <c r="S11" s="14">
        <v>700</v>
      </c>
      <c r="T11" s="14">
        <v>700</v>
      </c>
      <c r="U11" s="14">
        <v>700</v>
      </c>
      <c r="V11" s="14">
        <v>700</v>
      </c>
      <c r="W11" s="14">
        <v>700</v>
      </c>
    </row>
    <row r="12" spans="1:23" s="30" customFormat="1" ht="12.75">
      <c r="A12" s="57" t="s">
        <v>161</v>
      </c>
      <c r="B12" s="14">
        <v>1160.241</v>
      </c>
      <c r="C12" s="14">
        <v>1000</v>
      </c>
      <c r="D12" s="14">
        <v>1000</v>
      </c>
      <c r="E12" s="14">
        <v>1000</v>
      </c>
      <c r="F12" s="14">
        <v>1000</v>
      </c>
      <c r="G12" s="14">
        <v>1000</v>
      </c>
      <c r="H12" s="14">
        <v>1000</v>
      </c>
      <c r="I12" s="14">
        <v>1000</v>
      </c>
      <c r="J12" s="14">
        <v>1000</v>
      </c>
      <c r="K12" s="14">
        <v>1000</v>
      </c>
      <c r="L12" s="14">
        <v>1000</v>
      </c>
      <c r="M12" s="14">
        <v>1000</v>
      </c>
      <c r="N12" s="14">
        <v>1000</v>
      </c>
      <c r="O12" s="14">
        <v>1000</v>
      </c>
      <c r="P12" s="14">
        <v>1000</v>
      </c>
      <c r="Q12" s="14">
        <v>1000</v>
      </c>
      <c r="R12" s="14">
        <v>1000</v>
      </c>
      <c r="S12" s="14">
        <v>1000</v>
      </c>
      <c r="T12" s="14">
        <v>1000</v>
      </c>
      <c r="U12" s="14">
        <v>1000</v>
      </c>
      <c r="V12" s="14">
        <v>1000</v>
      </c>
      <c r="W12" s="14">
        <v>1000</v>
      </c>
    </row>
    <row r="13" spans="1:23" s="30" customFormat="1" ht="12.75">
      <c r="A13" s="57" t="s">
        <v>162</v>
      </c>
      <c r="B13" s="14">
        <v>0</v>
      </c>
      <c r="C13" s="14">
        <v>3999.9992700000003</v>
      </c>
      <c r="D13" s="14"/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</row>
    <row r="14" spans="1:23" s="56" customFormat="1" ht="12.75">
      <c r="A14" s="54" t="s">
        <v>163</v>
      </c>
      <c r="B14" s="55">
        <v>2895.87046</v>
      </c>
      <c r="C14" s="55">
        <v>8643.482951</v>
      </c>
      <c r="D14" s="55">
        <v>7669.283704092795</v>
      </c>
      <c r="E14" s="55">
        <f aca="true" t="shared" si="2" ref="E14:W14">E15+E16+E17+E18</f>
        <v>7965.569899911674</v>
      </c>
      <c r="F14" s="55">
        <f t="shared" si="2"/>
        <v>8873.798332386676</v>
      </c>
      <c r="G14" s="55">
        <f t="shared" si="2"/>
        <v>9923.121266348802</v>
      </c>
      <c r="H14" s="55">
        <f t="shared" si="2"/>
        <v>10552.436044320359</v>
      </c>
      <c r="I14" s="55">
        <f t="shared" si="2"/>
        <v>11057.825118961493</v>
      </c>
      <c r="J14" s="55">
        <f t="shared" si="2"/>
        <v>11586.47605472223</v>
      </c>
      <c r="K14" s="55">
        <f t="shared" si="2"/>
        <v>12103.366529519393</v>
      </c>
      <c r="L14" s="55">
        <f t="shared" si="2"/>
        <v>12685.714336438512</v>
      </c>
      <c r="M14" s="55">
        <f t="shared" si="2"/>
        <v>13287.43238546141</v>
      </c>
      <c r="N14" s="55">
        <f t="shared" si="2"/>
        <v>13933.333705219655</v>
      </c>
      <c r="O14" s="55">
        <f t="shared" si="2"/>
        <v>14581.516444774279</v>
      </c>
      <c r="P14" s="55">
        <f t="shared" si="2"/>
        <v>15172.788875422219</v>
      </c>
      <c r="Q14" s="55">
        <f t="shared" si="2"/>
        <v>15738.149392529873</v>
      </c>
      <c r="R14" s="55">
        <f t="shared" si="2"/>
        <v>16329.706517394152</v>
      </c>
      <c r="S14" s="55">
        <f t="shared" si="2"/>
        <v>16989.263899131387</v>
      </c>
      <c r="T14" s="55">
        <f t="shared" si="2"/>
        <v>17604.93531659468</v>
      </c>
      <c r="U14" s="55">
        <f t="shared" si="2"/>
        <v>18257.629680319926</v>
      </c>
      <c r="V14" s="55">
        <f t="shared" si="2"/>
        <v>18923.07603450105</v>
      </c>
      <c r="W14" s="55">
        <f t="shared" si="2"/>
        <v>19682.633558994894</v>
      </c>
    </row>
    <row r="15" spans="1:23" s="30" customFormat="1" ht="12.75">
      <c r="A15" s="57" t="s">
        <v>164</v>
      </c>
      <c r="B15" s="14">
        <v>61.55801</v>
      </c>
      <c r="C15" s="14">
        <v>70</v>
      </c>
      <c r="D15" s="14">
        <v>70</v>
      </c>
      <c r="E15" s="14">
        <v>71.4</v>
      </c>
      <c r="F15" s="14">
        <v>72.828</v>
      </c>
      <c r="G15" s="14">
        <v>74.28456</v>
      </c>
      <c r="H15" s="14">
        <v>75.7702512</v>
      </c>
      <c r="I15" s="14">
        <v>77.28565622400001</v>
      </c>
      <c r="J15" s="14">
        <v>78.83136934848001</v>
      </c>
      <c r="K15" s="14">
        <v>80.40799673544961</v>
      </c>
      <c r="L15" s="14">
        <v>82.01615667015861</v>
      </c>
      <c r="M15" s="14">
        <v>83.65647980356178</v>
      </c>
      <c r="N15" s="14">
        <v>85.32960939963301</v>
      </c>
      <c r="O15" s="14">
        <v>87.03620158762567</v>
      </c>
      <c r="P15" s="14">
        <v>88.77692561937819</v>
      </c>
      <c r="Q15" s="14">
        <v>90.55246413176576</v>
      </c>
      <c r="R15" s="14">
        <v>92.36351341440108</v>
      </c>
      <c r="S15" s="14">
        <v>94.21078368268911</v>
      </c>
      <c r="T15" s="14">
        <v>96.0949993563429</v>
      </c>
      <c r="U15" s="14">
        <v>98.01689934346976</v>
      </c>
      <c r="V15" s="14">
        <v>99.97723733033915</v>
      </c>
      <c r="W15" s="14">
        <v>101.97678207694594</v>
      </c>
    </row>
    <row r="16" spans="1:23" s="30" customFormat="1" ht="12.75">
      <c r="A16" s="57" t="s">
        <v>165</v>
      </c>
      <c r="B16" s="14">
        <v>2306.10884</v>
      </c>
      <c r="C16" s="14">
        <v>2885.982951</v>
      </c>
      <c r="D16" s="14">
        <v>2572.0932</v>
      </c>
      <c r="E16" s="14">
        <v>2674.95</v>
      </c>
      <c r="F16" s="14">
        <v>2719.7450000000003</v>
      </c>
      <c r="G16" s="14">
        <v>2730.3700000000003</v>
      </c>
      <c r="H16" s="14">
        <v>2749.5800000000004</v>
      </c>
      <c r="I16" s="14">
        <v>2810.695</v>
      </c>
      <c r="J16" s="14">
        <v>2846.735</v>
      </c>
      <c r="K16" s="14">
        <v>2876.9950000000003</v>
      </c>
      <c r="L16" s="14">
        <v>2916.69</v>
      </c>
      <c r="M16" s="14">
        <v>2950.69</v>
      </c>
      <c r="N16" s="14">
        <v>2997.2700000000004</v>
      </c>
      <c r="O16" s="14">
        <v>3037.135</v>
      </c>
      <c r="P16" s="14">
        <v>3065.355</v>
      </c>
      <c r="Q16" s="14">
        <v>3095.105</v>
      </c>
      <c r="R16" s="14">
        <v>3130.55</v>
      </c>
      <c r="S16" s="14">
        <v>3165.8250000000003</v>
      </c>
      <c r="T16" s="14">
        <v>3195.7450000000003</v>
      </c>
      <c r="U16" s="14">
        <v>3234.59</v>
      </c>
      <c r="V16" s="14">
        <v>3277.005</v>
      </c>
      <c r="W16" s="14">
        <v>3309.6450000000004</v>
      </c>
    </row>
    <row r="17" spans="1:23" s="30" customFormat="1" ht="12.75">
      <c r="A17" s="57" t="s">
        <v>166</v>
      </c>
      <c r="B17" s="14">
        <v>16.13642</v>
      </c>
      <c r="C17" s="14">
        <v>5187.5</v>
      </c>
      <c r="D17" s="14">
        <v>4527.190504092796</v>
      </c>
      <c r="E17" s="14">
        <v>4799.219899911674</v>
      </c>
      <c r="F17" s="14">
        <v>5661.225332386675</v>
      </c>
      <c r="G17" s="14">
        <v>6698.466706348801</v>
      </c>
      <c r="H17" s="14">
        <v>7307.085793120357</v>
      </c>
      <c r="I17" s="14">
        <v>7749.844462737492</v>
      </c>
      <c r="J17" s="14">
        <v>8240.90968537375</v>
      </c>
      <c r="K17" s="14">
        <v>8725.963532783942</v>
      </c>
      <c r="L17" s="14">
        <v>9267.008179768352</v>
      </c>
      <c r="M17" s="14">
        <v>9833.085905657848</v>
      </c>
      <c r="N17" s="14">
        <v>10430.734095820022</v>
      </c>
      <c r="O17" s="14">
        <v>11037.345243186654</v>
      </c>
      <c r="P17" s="14">
        <v>11598.65694980284</v>
      </c>
      <c r="Q17" s="14">
        <v>12132.491928398107</v>
      </c>
      <c r="R17" s="14">
        <v>12686.79300397975</v>
      </c>
      <c r="S17" s="14">
        <v>13309.2281154487</v>
      </c>
      <c r="T17" s="14">
        <v>13893.095317238338</v>
      </c>
      <c r="U17" s="14">
        <v>14505.022780976455</v>
      </c>
      <c r="V17" s="14">
        <v>15126.09379717071</v>
      </c>
      <c r="W17" s="14">
        <v>15851.011776917949</v>
      </c>
    </row>
    <row r="18" spans="1:23" s="30" customFormat="1" ht="12.75">
      <c r="A18" s="57" t="s">
        <v>167</v>
      </c>
      <c r="B18" s="14">
        <v>512.06719</v>
      </c>
      <c r="C18" s="14">
        <v>500</v>
      </c>
      <c r="D18" s="14">
        <v>500</v>
      </c>
      <c r="E18" s="14">
        <v>420</v>
      </c>
      <c r="F18" s="14">
        <v>420</v>
      </c>
      <c r="G18" s="14">
        <v>420</v>
      </c>
      <c r="H18" s="14">
        <v>420</v>
      </c>
      <c r="I18" s="14">
        <v>420</v>
      </c>
      <c r="J18" s="14">
        <v>420</v>
      </c>
      <c r="K18" s="14">
        <v>420</v>
      </c>
      <c r="L18" s="14">
        <v>420</v>
      </c>
      <c r="M18" s="14">
        <v>420</v>
      </c>
      <c r="N18" s="14">
        <v>420</v>
      </c>
      <c r="O18" s="14">
        <v>420</v>
      </c>
      <c r="P18" s="14">
        <v>420</v>
      </c>
      <c r="Q18" s="14">
        <v>420</v>
      </c>
      <c r="R18" s="14">
        <v>420</v>
      </c>
      <c r="S18" s="14">
        <v>420</v>
      </c>
      <c r="T18" s="14">
        <v>420</v>
      </c>
      <c r="U18" s="14">
        <v>420</v>
      </c>
      <c r="V18" s="14">
        <v>420</v>
      </c>
      <c r="W18" s="14">
        <v>420</v>
      </c>
    </row>
    <row r="19" spans="1:23" s="56" customFormat="1" ht="27.75" customHeight="1">
      <c r="A19" s="54" t="s">
        <v>168</v>
      </c>
      <c r="B19" s="58">
        <v>15819.0686</v>
      </c>
      <c r="C19" s="58">
        <v>25613.482221</v>
      </c>
      <c r="D19" s="58">
        <v>53374.586482728555</v>
      </c>
      <c r="E19" s="58">
        <f aca="true" t="shared" si="3" ref="E19:W19">E5+E14</f>
        <v>53715.56989991167</v>
      </c>
      <c r="F19" s="58">
        <f t="shared" si="3"/>
        <v>54553.79833238668</v>
      </c>
      <c r="G19" s="58">
        <f t="shared" si="3"/>
        <v>55608.121266348804</v>
      </c>
      <c r="H19" s="58">
        <f t="shared" si="3"/>
        <v>56237.43604432036</v>
      </c>
      <c r="I19" s="58">
        <f t="shared" si="3"/>
        <v>56740.8251189615</v>
      </c>
      <c r="J19" s="58">
        <f t="shared" si="3"/>
        <v>57264.47605472223</v>
      </c>
      <c r="K19" s="58">
        <f t="shared" si="3"/>
        <v>57773.36652951939</v>
      </c>
      <c r="L19" s="58">
        <f t="shared" si="3"/>
        <v>58345.71433643851</v>
      </c>
      <c r="M19" s="58">
        <f t="shared" si="3"/>
        <v>58934.43238546141</v>
      </c>
      <c r="N19" s="58">
        <f t="shared" si="3"/>
        <v>59560.33370521966</v>
      </c>
      <c r="O19" s="58">
        <f t="shared" si="3"/>
        <v>60183.51644477428</v>
      </c>
      <c r="P19" s="58">
        <f t="shared" si="3"/>
        <v>60746.78887542222</v>
      </c>
      <c r="Q19" s="58">
        <f t="shared" si="3"/>
        <v>61282.14939252987</v>
      </c>
      <c r="R19" s="58">
        <f t="shared" si="3"/>
        <v>61838.70651739415</v>
      </c>
      <c r="S19" s="58">
        <f t="shared" si="3"/>
        <v>62460.26389913139</v>
      </c>
      <c r="T19" s="58">
        <f t="shared" si="3"/>
        <v>63033.93531659468</v>
      </c>
      <c r="U19" s="58">
        <f t="shared" si="3"/>
        <v>63641.62968031992</v>
      </c>
      <c r="V19" s="58">
        <f t="shared" si="3"/>
        <v>64259.07603450105</v>
      </c>
      <c r="W19" s="58">
        <f t="shared" si="3"/>
        <v>64968.633558994894</v>
      </c>
    </row>
    <row r="20" spans="1:23" ht="14.25" customHeight="1">
      <c r="A20" s="47" t="s">
        <v>169</v>
      </c>
      <c r="B20" s="4">
        <v>2013</v>
      </c>
      <c r="C20" s="4">
        <v>2014</v>
      </c>
      <c r="D20" s="4">
        <f>D3</f>
        <v>2015</v>
      </c>
      <c r="E20" s="4">
        <f aca="true" t="shared" si="4" ref="E20:W20">E3</f>
        <v>2016</v>
      </c>
      <c r="F20" s="4">
        <f t="shared" si="4"/>
        <v>2017</v>
      </c>
      <c r="G20" s="4">
        <f t="shared" si="4"/>
        <v>2018</v>
      </c>
      <c r="H20" s="4">
        <f t="shared" si="4"/>
        <v>2019</v>
      </c>
      <c r="I20" s="4">
        <f t="shared" si="4"/>
        <v>2020</v>
      </c>
      <c r="J20" s="4">
        <f t="shared" si="4"/>
        <v>2021</v>
      </c>
      <c r="K20" s="4">
        <f t="shared" si="4"/>
        <v>2022</v>
      </c>
      <c r="L20" s="4">
        <f t="shared" si="4"/>
        <v>2023</v>
      </c>
      <c r="M20" s="4">
        <f t="shared" si="4"/>
        <v>2024</v>
      </c>
      <c r="N20" s="4">
        <f t="shared" si="4"/>
        <v>2025</v>
      </c>
      <c r="O20" s="4">
        <f t="shared" si="4"/>
        <v>2026</v>
      </c>
      <c r="P20" s="4">
        <f t="shared" si="4"/>
        <v>2027</v>
      </c>
      <c r="Q20" s="4">
        <f t="shared" si="4"/>
        <v>2028</v>
      </c>
      <c r="R20" s="4">
        <f t="shared" si="4"/>
        <v>2029</v>
      </c>
      <c r="S20" s="4">
        <f t="shared" si="4"/>
        <v>2030</v>
      </c>
      <c r="T20" s="4">
        <f t="shared" si="4"/>
        <v>2031</v>
      </c>
      <c r="U20" s="4">
        <f t="shared" si="4"/>
        <v>2032</v>
      </c>
      <c r="V20" s="4">
        <f t="shared" si="4"/>
        <v>2033</v>
      </c>
      <c r="W20" s="4">
        <f t="shared" si="4"/>
        <v>2034</v>
      </c>
    </row>
    <row r="21" spans="1:23" ht="22.5" customHeight="1">
      <c r="A21" s="47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 s="56" customFormat="1" ht="12.75">
      <c r="A22" s="59" t="s">
        <v>170</v>
      </c>
      <c r="B22" s="55">
        <v>2504.52</v>
      </c>
      <c r="C22" s="55">
        <v>4911.044950000004</v>
      </c>
      <c r="D22" s="55">
        <v>6543.386160911676</v>
      </c>
      <c r="E22" s="55">
        <f aca="true" t="shared" si="5" ref="E22">SUM(E23:E26)</f>
        <v>8857.407160911676</v>
      </c>
      <c r="F22" s="55">
        <f aca="true" t="shared" si="6" ref="F22:W22">SUM(F23:F26)</f>
        <v>11467.002160911677</v>
      </c>
      <c r="G22" s="55">
        <f t="shared" si="6"/>
        <v>13905.202160911678</v>
      </c>
      <c r="H22" s="55">
        <f t="shared" si="6"/>
        <v>15932.897160911678</v>
      </c>
      <c r="I22" s="55">
        <f t="shared" si="6"/>
        <v>17849.162160911677</v>
      </c>
      <c r="J22" s="55">
        <f t="shared" si="6"/>
        <v>19802.177160911677</v>
      </c>
      <c r="K22" s="55">
        <f t="shared" si="6"/>
        <v>21756.912160911677</v>
      </c>
      <c r="L22" s="55">
        <f t="shared" si="6"/>
        <v>23793.57716091168</v>
      </c>
      <c r="M22" s="55">
        <f t="shared" si="6"/>
        <v>25866.07716091168</v>
      </c>
      <c r="N22" s="55">
        <f t="shared" si="6"/>
        <v>27997.217160911678</v>
      </c>
      <c r="O22" s="55">
        <f t="shared" si="6"/>
        <v>30148.08716091168</v>
      </c>
      <c r="P22" s="55">
        <f t="shared" si="6"/>
        <v>32262.48716091168</v>
      </c>
      <c r="Q22" s="55">
        <f t="shared" si="6"/>
        <v>34372.40716091168</v>
      </c>
      <c r="R22" s="55">
        <f t="shared" si="6"/>
        <v>36552.94716091168</v>
      </c>
      <c r="S22" s="55">
        <f t="shared" si="6"/>
        <v>38806.90216091168</v>
      </c>
      <c r="T22" s="55">
        <f t="shared" si="6"/>
        <v>41044.37716091168</v>
      </c>
      <c r="U22" s="55">
        <f t="shared" si="6"/>
        <v>43349.27216091168</v>
      </c>
      <c r="V22" s="55">
        <f t="shared" si="6"/>
        <v>45699.30716091168</v>
      </c>
      <c r="W22" s="55">
        <f t="shared" si="6"/>
        <v>48178.83216091168</v>
      </c>
    </row>
    <row r="23" spans="1:23" ht="12.75">
      <c r="A23" s="60" t="s">
        <v>171</v>
      </c>
      <c r="B23" s="15">
        <v>4258.46</v>
      </c>
      <c r="C23" s="15">
        <v>4258.46</v>
      </c>
      <c r="D23" s="15">
        <v>4258.46</v>
      </c>
      <c r="E23" s="15">
        <f>D23</f>
        <v>4258.46</v>
      </c>
      <c r="F23" s="15">
        <f aca="true" t="shared" si="7" ref="F23:W23">E23</f>
        <v>4258.46</v>
      </c>
      <c r="G23" s="15">
        <f t="shared" si="7"/>
        <v>4258.46</v>
      </c>
      <c r="H23" s="15">
        <f t="shared" si="7"/>
        <v>4258.46</v>
      </c>
      <c r="I23" s="15">
        <f t="shared" si="7"/>
        <v>4258.46</v>
      </c>
      <c r="J23" s="15">
        <f t="shared" si="7"/>
        <v>4258.46</v>
      </c>
      <c r="K23" s="15">
        <f t="shared" si="7"/>
        <v>4258.46</v>
      </c>
      <c r="L23" s="15">
        <f t="shared" si="7"/>
        <v>4258.46</v>
      </c>
      <c r="M23" s="15">
        <f t="shared" si="7"/>
        <v>4258.46</v>
      </c>
      <c r="N23" s="15">
        <f t="shared" si="7"/>
        <v>4258.46</v>
      </c>
      <c r="O23" s="15">
        <f t="shared" si="7"/>
        <v>4258.46</v>
      </c>
      <c r="P23" s="15">
        <f t="shared" si="7"/>
        <v>4258.46</v>
      </c>
      <c r="Q23" s="15">
        <f t="shared" si="7"/>
        <v>4258.46</v>
      </c>
      <c r="R23" s="15">
        <f t="shared" si="7"/>
        <v>4258.46</v>
      </c>
      <c r="S23" s="15">
        <f t="shared" si="7"/>
        <v>4258.46</v>
      </c>
      <c r="T23" s="15">
        <f t="shared" si="7"/>
        <v>4258.46</v>
      </c>
      <c r="U23" s="15">
        <f t="shared" si="7"/>
        <v>4258.46</v>
      </c>
      <c r="V23" s="15">
        <f t="shared" si="7"/>
        <v>4258.46</v>
      </c>
      <c r="W23" s="15">
        <f t="shared" si="7"/>
        <v>4258.46</v>
      </c>
    </row>
    <row r="24" spans="1:23" ht="12.75">
      <c r="A24" s="60" t="s">
        <v>172</v>
      </c>
      <c r="B24" s="15">
        <v>0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</row>
    <row r="25" spans="1:23" ht="12.75">
      <c r="A25" s="60" t="s">
        <v>173</v>
      </c>
      <c r="B25" s="15">
        <v>0</v>
      </c>
      <c r="C25" s="15">
        <v>-608.94</v>
      </c>
      <c r="D25" s="15">
        <v>652.5849500000043</v>
      </c>
      <c r="E25" s="15">
        <f>D26+D25</f>
        <v>2284.9261609116757</v>
      </c>
      <c r="F25" s="15">
        <f>E26+E25</f>
        <v>4598.947160911676</v>
      </c>
      <c r="G25" s="15">
        <f aca="true" t="shared" si="8" ref="G25:W25">F26+F25</f>
        <v>7208.5421609116775</v>
      </c>
      <c r="H25" s="15">
        <f t="shared" si="8"/>
        <v>9646.74216091168</v>
      </c>
      <c r="I25" s="15">
        <f t="shared" si="8"/>
        <v>11674.437160911679</v>
      </c>
      <c r="J25" s="15">
        <f t="shared" si="8"/>
        <v>13590.702160911678</v>
      </c>
      <c r="K25" s="15">
        <f t="shared" si="8"/>
        <v>15543.717160911678</v>
      </c>
      <c r="L25" s="15">
        <f t="shared" si="8"/>
        <v>17498.45216091168</v>
      </c>
      <c r="M25" s="15">
        <f t="shared" si="8"/>
        <v>19535.11716091168</v>
      </c>
      <c r="N25" s="15">
        <f t="shared" si="8"/>
        <v>21607.61716091168</v>
      </c>
      <c r="O25" s="15">
        <f t="shared" si="8"/>
        <v>23738.75716091168</v>
      </c>
      <c r="P25" s="15">
        <f t="shared" si="8"/>
        <v>25889.62716091168</v>
      </c>
      <c r="Q25" s="15">
        <f t="shared" si="8"/>
        <v>28004.027160911683</v>
      </c>
      <c r="R25" s="15">
        <f t="shared" si="8"/>
        <v>30113.94716091168</v>
      </c>
      <c r="S25" s="15">
        <f t="shared" si="8"/>
        <v>32294.48716091168</v>
      </c>
      <c r="T25" s="15">
        <f t="shared" si="8"/>
        <v>34548.44216091168</v>
      </c>
      <c r="U25" s="15">
        <f t="shared" si="8"/>
        <v>36785.91716091168</v>
      </c>
      <c r="V25" s="15">
        <f t="shared" si="8"/>
        <v>39090.81216091168</v>
      </c>
      <c r="W25" s="15">
        <f t="shared" si="8"/>
        <v>41440.84716091168</v>
      </c>
    </row>
    <row r="26" spans="1:23" ht="12.75">
      <c r="A26" s="60" t="s">
        <v>174</v>
      </c>
      <c r="B26" s="15">
        <v>-1753.94</v>
      </c>
      <c r="C26" s="15">
        <v>1261.5249500000043</v>
      </c>
      <c r="D26" s="15">
        <v>1632.3412109116712</v>
      </c>
      <c r="E26" s="15">
        <f>'[1]RZiS'!E30</f>
        <v>2314.0210000000006</v>
      </c>
      <c r="F26" s="15">
        <f>'[1]RZiS'!F30</f>
        <v>2609.595000000001</v>
      </c>
      <c r="G26" s="15">
        <f>'[1]RZiS'!G30</f>
        <v>2438.2000000000007</v>
      </c>
      <c r="H26" s="15">
        <f>'[1]RZiS'!H30</f>
        <v>2027.6950000000006</v>
      </c>
      <c r="I26" s="15">
        <f>'[1]RZiS'!I30</f>
        <v>1916.2649999999994</v>
      </c>
      <c r="J26" s="15">
        <f>'[1]RZiS'!J30</f>
        <v>1953.0149999999994</v>
      </c>
      <c r="K26" s="15">
        <f>'[1]RZiS'!K30</f>
        <v>1954.7350000000006</v>
      </c>
      <c r="L26" s="15">
        <f>'[1]RZiS'!L30</f>
        <v>2036.6650000000009</v>
      </c>
      <c r="M26" s="15">
        <f>'[1]RZiS'!M30</f>
        <v>2072.5</v>
      </c>
      <c r="N26" s="15">
        <f>'[1]RZiS'!N30</f>
        <v>2131.1399999999994</v>
      </c>
      <c r="O26" s="15">
        <f>'[1]RZiS'!O30</f>
        <v>2150.8700000000026</v>
      </c>
      <c r="P26" s="15">
        <f>'[1]RZiS'!P30</f>
        <v>2114.4000000000015</v>
      </c>
      <c r="Q26" s="15">
        <f>'[1]RZiS'!Q30</f>
        <v>2109.9199999999983</v>
      </c>
      <c r="R26" s="15">
        <f>'[1]RZiS'!R30</f>
        <v>2180.540000000001</v>
      </c>
      <c r="S26" s="15">
        <f>'[1]RZiS'!S30</f>
        <v>2253.9550000000017</v>
      </c>
      <c r="T26" s="15">
        <f>'[1]RZiS'!T30</f>
        <v>2237.4749999999985</v>
      </c>
      <c r="U26" s="15">
        <f>'[1]RZiS'!U30</f>
        <v>2304.894999999997</v>
      </c>
      <c r="V26" s="15">
        <f>'[1]RZiS'!V30</f>
        <v>2350.0350000000035</v>
      </c>
      <c r="W26" s="15">
        <f>'[1]RZiS'!W30</f>
        <v>2479.5250000000015</v>
      </c>
    </row>
    <row r="27" spans="1:23" s="56" customFormat="1" ht="12.75">
      <c r="A27" s="59" t="s">
        <v>175</v>
      </c>
      <c r="B27" s="55">
        <v>13314.52968</v>
      </c>
      <c r="C27" s="55">
        <v>20702.4354165</v>
      </c>
      <c r="D27" s="55">
        <v>46831.200321816876</v>
      </c>
      <c r="E27" s="55">
        <f aca="true" t="shared" si="9" ref="E27:N27">E28+E29+E32+E36</f>
        <v>44858.162739</v>
      </c>
      <c r="F27" s="55">
        <f t="shared" si="9"/>
        <v>43086.796171475</v>
      </c>
      <c r="G27" s="55">
        <f t="shared" si="9"/>
        <v>41702.919105437126</v>
      </c>
      <c r="H27" s="55">
        <f t="shared" si="9"/>
        <v>40304.53888340868</v>
      </c>
      <c r="I27" s="55">
        <f t="shared" si="9"/>
        <v>38891.66295804981</v>
      </c>
      <c r="J27" s="55">
        <f t="shared" si="9"/>
        <v>37462.298893810555</v>
      </c>
      <c r="K27" s="55">
        <f t="shared" si="9"/>
        <v>36016.454368607716</v>
      </c>
      <c r="L27" s="55">
        <f t="shared" si="9"/>
        <v>34552.137175526834</v>
      </c>
      <c r="M27" s="55">
        <f t="shared" si="9"/>
        <v>33068.355224549734</v>
      </c>
      <c r="N27" s="55">
        <f t="shared" si="9"/>
        <v>31563.11654430798</v>
      </c>
      <c r="O27" s="55">
        <f>O28+O29+O32+O36</f>
        <v>30035.4292838626</v>
      </c>
      <c r="P27" s="55">
        <f aca="true" t="shared" si="10" ref="P27:W27">P28+P29+P32+P36</f>
        <v>28484.301714510537</v>
      </c>
      <c r="Q27" s="55">
        <f t="shared" si="10"/>
        <v>26909.742231618195</v>
      </c>
      <c r="R27" s="55">
        <f t="shared" si="10"/>
        <v>25285.759356482467</v>
      </c>
      <c r="S27" s="55">
        <f t="shared" si="10"/>
        <v>23653.361738219704</v>
      </c>
      <c r="T27" s="55">
        <f t="shared" si="10"/>
        <v>21989.558155683</v>
      </c>
      <c r="U27" s="55">
        <f t="shared" si="10"/>
        <v>20292.357519408244</v>
      </c>
      <c r="V27" s="55">
        <f t="shared" si="10"/>
        <v>18559.768873589368</v>
      </c>
      <c r="W27" s="55">
        <f t="shared" si="10"/>
        <v>16789.80139808321</v>
      </c>
    </row>
    <row r="28" spans="1:23" s="30" customFormat="1" ht="12.75">
      <c r="A28" s="61" t="s">
        <v>176</v>
      </c>
      <c r="B28" s="14">
        <v>646.14738</v>
      </c>
      <c r="C28" s="14">
        <v>700</v>
      </c>
      <c r="D28" s="14">
        <v>700</v>
      </c>
      <c r="E28" s="14">
        <v>1100</v>
      </c>
      <c r="F28" s="14">
        <v>1100</v>
      </c>
      <c r="G28" s="14">
        <v>1100</v>
      </c>
      <c r="H28" s="14">
        <v>1100</v>
      </c>
      <c r="I28" s="14">
        <v>1100</v>
      </c>
      <c r="J28" s="14">
        <v>1100</v>
      </c>
      <c r="K28" s="14">
        <v>1100</v>
      </c>
      <c r="L28" s="14">
        <v>1100</v>
      </c>
      <c r="M28" s="14">
        <v>1100</v>
      </c>
      <c r="N28" s="14">
        <v>1100</v>
      </c>
      <c r="O28" s="14">
        <v>1100</v>
      </c>
      <c r="P28" s="14">
        <v>1101</v>
      </c>
      <c r="Q28" s="14">
        <v>1102</v>
      </c>
      <c r="R28" s="14">
        <v>1103</v>
      </c>
      <c r="S28" s="14">
        <v>1104</v>
      </c>
      <c r="T28" s="14">
        <v>1105</v>
      </c>
      <c r="U28" s="14">
        <v>1106</v>
      </c>
      <c r="V28" s="14">
        <v>1107</v>
      </c>
      <c r="W28" s="14">
        <v>1108</v>
      </c>
    </row>
    <row r="29" spans="1:23" s="30" customFormat="1" ht="12.75">
      <c r="A29" s="61" t="s">
        <v>177</v>
      </c>
      <c r="B29" s="14">
        <v>1018.544</v>
      </c>
      <c r="C29" s="14">
        <v>0</v>
      </c>
      <c r="D29" s="14">
        <v>7576.600574</v>
      </c>
      <c r="E29" s="14">
        <f aca="true" t="shared" si="11" ref="E29:W29">E31+E30</f>
        <v>7385.600574</v>
      </c>
      <c r="F29" s="14">
        <f t="shared" si="11"/>
        <v>7181.600574</v>
      </c>
      <c r="G29" s="14">
        <f t="shared" si="11"/>
        <v>6964.600574</v>
      </c>
      <c r="H29" s="14">
        <f t="shared" si="11"/>
        <v>6732.600574</v>
      </c>
      <c r="I29" s="14">
        <f t="shared" si="11"/>
        <v>6485.600574</v>
      </c>
      <c r="J29" s="14">
        <f t="shared" si="11"/>
        <v>6221.600574</v>
      </c>
      <c r="K29" s="14">
        <f t="shared" si="11"/>
        <v>5940.600574</v>
      </c>
      <c r="L29" s="14">
        <f t="shared" si="11"/>
        <v>5640.600574</v>
      </c>
      <c r="M29" s="14">
        <f t="shared" si="11"/>
        <v>5320.600574</v>
      </c>
      <c r="N29" s="14">
        <f t="shared" si="11"/>
        <v>4978.600574</v>
      </c>
      <c r="O29" s="14">
        <f t="shared" si="11"/>
        <v>4613.600574</v>
      </c>
      <c r="P29" s="14">
        <f t="shared" si="11"/>
        <v>4223.600574</v>
      </c>
      <c r="Q29" s="14">
        <f t="shared" si="11"/>
        <v>3809.600574</v>
      </c>
      <c r="R29" s="14">
        <f t="shared" si="11"/>
        <v>3345.600574</v>
      </c>
      <c r="S29" s="14">
        <f t="shared" si="11"/>
        <v>2872.600574</v>
      </c>
      <c r="T29" s="14">
        <f t="shared" si="11"/>
        <v>2367.600574</v>
      </c>
      <c r="U29" s="14">
        <f t="shared" si="11"/>
        <v>1828.600574</v>
      </c>
      <c r="V29" s="14">
        <f t="shared" si="11"/>
        <v>1253.600574</v>
      </c>
      <c r="W29" s="14">
        <f t="shared" si="11"/>
        <v>640.600574</v>
      </c>
    </row>
    <row r="30" spans="1:23" s="30" customFormat="1" ht="12.75">
      <c r="A30" s="61" t="s">
        <v>178</v>
      </c>
      <c r="B30" s="14">
        <v>1018.544</v>
      </c>
      <c r="C30" s="14">
        <v>0</v>
      </c>
      <c r="D30" s="14">
        <v>7576.600574</v>
      </c>
      <c r="E30" s="14">
        <f>D30-191</f>
        <v>7385.600574</v>
      </c>
      <c r="F30" s="14">
        <f>E30-204</f>
        <v>7181.600574</v>
      </c>
      <c r="G30" s="14">
        <f>F30-217</f>
        <v>6964.600574</v>
      </c>
      <c r="H30" s="14">
        <f>G30-232</f>
        <v>6732.600574</v>
      </c>
      <c r="I30" s="14">
        <f>H30-247</f>
        <v>6485.600574</v>
      </c>
      <c r="J30" s="14">
        <f>I30-264</f>
        <v>6221.600574</v>
      </c>
      <c r="K30" s="14">
        <f>J30-281</f>
        <v>5940.600574</v>
      </c>
      <c r="L30" s="14">
        <f>K30-300</f>
        <v>5640.600574</v>
      </c>
      <c r="M30" s="14">
        <f>L30-320</f>
        <v>5320.600574</v>
      </c>
      <c r="N30" s="14">
        <f>M30-342</f>
        <v>4978.600574</v>
      </c>
      <c r="O30" s="14">
        <f>N30-365</f>
        <v>4613.600574</v>
      </c>
      <c r="P30" s="14">
        <f>O30-390</f>
        <v>4223.600574</v>
      </c>
      <c r="Q30" s="14">
        <f>P30-414</f>
        <v>3809.600574</v>
      </c>
      <c r="R30" s="14">
        <f>Q30-464</f>
        <v>3345.600574</v>
      </c>
      <c r="S30" s="14">
        <f>R30-473</f>
        <v>2872.600574</v>
      </c>
      <c r="T30" s="14">
        <f>S30-505</f>
        <v>2367.600574</v>
      </c>
      <c r="U30" s="14">
        <f>T30-539</f>
        <v>1828.600574</v>
      </c>
      <c r="V30" s="14">
        <f>U30-575</f>
        <v>1253.600574</v>
      </c>
      <c r="W30" s="14">
        <f>V30-613</f>
        <v>640.600574</v>
      </c>
    </row>
    <row r="31" spans="1:23" s="30" customFormat="1" ht="12.75">
      <c r="A31" s="61" t="s">
        <v>179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</row>
    <row r="32" spans="1:23" s="30" customFormat="1" ht="12.75">
      <c r="A32" s="61" t="s">
        <v>180</v>
      </c>
      <c r="B32" s="14">
        <v>4963.99794</v>
      </c>
      <c r="C32" s="14">
        <v>6402.4354165</v>
      </c>
      <c r="D32" s="14">
        <v>6457.599747816877</v>
      </c>
      <c r="E32" s="14">
        <f aca="true" t="shared" si="12" ref="E32:W32">E33+E34+E35</f>
        <v>5675.562164999999</v>
      </c>
      <c r="F32" s="14">
        <f t="shared" si="12"/>
        <v>5708.195597474999</v>
      </c>
      <c r="G32" s="14">
        <f t="shared" si="12"/>
        <v>5741.318531437124</v>
      </c>
      <c r="H32" s="14">
        <f t="shared" si="12"/>
        <v>5774.938309408681</v>
      </c>
      <c r="I32" s="14">
        <f t="shared" si="12"/>
        <v>5809.06238404981</v>
      </c>
      <c r="J32" s="14">
        <f t="shared" si="12"/>
        <v>5843.698319810557</v>
      </c>
      <c r="K32" s="14">
        <f t="shared" si="12"/>
        <v>5878.853794607716</v>
      </c>
      <c r="L32" s="14">
        <f t="shared" si="12"/>
        <v>5914.536601526832</v>
      </c>
      <c r="M32" s="14">
        <f t="shared" si="12"/>
        <v>5950.754650549734</v>
      </c>
      <c r="N32" s="14">
        <f t="shared" si="12"/>
        <v>5987.515970307979</v>
      </c>
      <c r="O32" s="14">
        <f t="shared" si="12"/>
        <v>6024.828709862599</v>
      </c>
      <c r="P32" s="14">
        <f t="shared" si="12"/>
        <v>6062.701140510538</v>
      </c>
      <c r="Q32" s="14">
        <f t="shared" si="12"/>
        <v>6101.1416576181955</v>
      </c>
      <c r="R32" s="14">
        <f t="shared" si="12"/>
        <v>6140.158782482468</v>
      </c>
      <c r="S32" s="14">
        <f t="shared" si="12"/>
        <v>6179.761164219704</v>
      </c>
      <c r="T32" s="14">
        <f t="shared" si="12"/>
        <v>6219.957581683</v>
      </c>
      <c r="U32" s="14">
        <f t="shared" si="12"/>
        <v>6260.756945408245</v>
      </c>
      <c r="V32" s="14">
        <f t="shared" si="12"/>
        <v>6302.168299589368</v>
      </c>
      <c r="W32" s="14">
        <f t="shared" si="12"/>
        <v>6344.200824083209</v>
      </c>
    </row>
    <row r="33" spans="1:23" s="30" customFormat="1" ht="12.75">
      <c r="A33" s="61" t="s">
        <v>181</v>
      </c>
      <c r="B33" s="14">
        <v>1902.41556</v>
      </c>
      <c r="C33" s="14">
        <v>2404.9857925</v>
      </c>
      <c r="D33" s="14">
        <v>2143.4109999999996</v>
      </c>
      <c r="E33" s="14">
        <v>2175.5621649999994</v>
      </c>
      <c r="F33" s="14">
        <v>2208.195597474999</v>
      </c>
      <c r="G33" s="14">
        <v>2241.318531437124</v>
      </c>
      <c r="H33" s="14">
        <v>2274.9383094086807</v>
      </c>
      <c r="I33" s="14">
        <v>2309.0623840498106</v>
      </c>
      <c r="J33" s="14">
        <v>2343.6983198105577</v>
      </c>
      <c r="K33" s="14">
        <v>2378.853794607716</v>
      </c>
      <c r="L33" s="14">
        <v>2414.5366015268314</v>
      </c>
      <c r="M33" s="14">
        <v>2450.7546505497335</v>
      </c>
      <c r="N33" s="14">
        <v>2487.5159703079794</v>
      </c>
      <c r="O33" s="14">
        <v>2524.8287098625988</v>
      </c>
      <c r="P33" s="14">
        <v>2562.7011405105377</v>
      </c>
      <c r="Q33" s="14">
        <v>2601.1416576181955</v>
      </c>
      <c r="R33" s="14">
        <v>2640.1587824824683</v>
      </c>
      <c r="S33" s="14">
        <v>2679.761164219705</v>
      </c>
      <c r="T33" s="14">
        <v>2719.957581683</v>
      </c>
      <c r="U33" s="14">
        <v>2760.756945408245</v>
      </c>
      <c r="V33" s="14">
        <v>2802.1682995893684</v>
      </c>
      <c r="W33" s="14">
        <v>2844.2008240832088</v>
      </c>
    </row>
    <row r="34" spans="1:23" s="30" customFormat="1" ht="12.75">
      <c r="A34" s="61" t="s">
        <v>182</v>
      </c>
      <c r="B34" s="14">
        <v>1884.94052</v>
      </c>
      <c r="C34" s="14">
        <v>1500</v>
      </c>
      <c r="D34" s="14">
        <v>1500</v>
      </c>
      <c r="E34" s="14">
        <v>1500</v>
      </c>
      <c r="F34" s="14">
        <v>1500</v>
      </c>
      <c r="G34" s="14">
        <v>1500</v>
      </c>
      <c r="H34" s="14">
        <v>1500</v>
      </c>
      <c r="I34" s="14">
        <v>1500</v>
      </c>
      <c r="J34" s="14">
        <v>1500</v>
      </c>
      <c r="K34" s="14">
        <v>1500</v>
      </c>
      <c r="L34" s="14">
        <v>1500</v>
      </c>
      <c r="M34" s="14">
        <v>1500</v>
      </c>
      <c r="N34" s="14">
        <v>1500</v>
      </c>
      <c r="O34" s="14">
        <v>1500</v>
      </c>
      <c r="P34" s="14">
        <v>1500</v>
      </c>
      <c r="Q34" s="14">
        <v>1500</v>
      </c>
      <c r="R34" s="14">
        <v>1500</v>
      </c>
      <c r="S34" s="14">
        <v>1500</v>
      </c>
      <c r="T34" s="14">
        <v>1500</v>
      </c>
      <c r="U34" s="14">
        <v>1500</v>
      </c>
      <c r="V34" s="14">
        <v>1500</v>
      </c>
      <c r="W34" s="14">
        <v>1500</v>
      </c>
    </row>
    <row r="35" spans="1:23" s="30" customFormat="1" ht="12.75">
      <c r="A35" s="61" t="s">
        <v>183</v>
      </c>
      <c r="B35" s="14">
        <v>1176.64186</v>
      </c>
      <c r="C35" s="14">
        <v>2497.4496240000003</v>
      </c>
      <c r="D35" s="14">
        <v>2814.188747816877</v>
      </c>
      <c r="E35" s="14">
        <v>2000</v>
      </c>
      <c r="F35" s="14">
        <v>2000</v>
      </c>
      <c r="G35" s="14">
        <v>2000</v>
      </c>
      <c r="H35" s="14">
        <v>2000</v>
      </c>
      <c r="I35" s="14">
        <v>2000</v>
      </c>
      <c r="J35" s="14">
        <v>2000</v>
      </c>
      <c r="K35" s="14">
        <v>2000</v>
      </c>
      <c r="L35" s="14">
        <v>2000</v>
      </c>
      <c r="M35" s="14">
        <v>2000</v>
      </c>
      <c r="N35" s="14">
        <v>2000</v>
      </c>
      <c r="O35" s="14">
        <v>2000</v>
      </c>
      <c r="P35" s="14">
        <v>2000</v>
      </c>
      <c r="Q35" s="14">
        <v>2000</v>
      </c>
      <c r="R35" s="14">
        <v>2000</v>
      </c>
      <c r="S35" s="14">
        <v>2000</v>
      </c>
      <c r="T35" s="14">
        <v>2000</v>
      </c>
      <c r="U35" s="14">
        <v>2000</v>
      </c>
      <c r="V35" s="14">
        <v>2000</v>
      </c>
      <c r="W35" s="14">
        <v>2000</v>
      </c>
    </row>
    <row r="36" spans="1:23" s="30" customFormat="1" ht="12.75">
      <c r="A36" s="61" t="s">
        <v>184</v>
      </c>
      <c r="B36" s="14">
        <v>6685.84036</v>
      </c>
      <c r="C36" s="14">
        <v>13600</v>
      </c>
      <c r="D36" s="14">
        <v>32097</v>
      </c>
      <c r="E36" s="14">
        <v>30697</v>
      </c>
      <c r="F36" s="14">
        <v>29097</v>
      </c>
      <c r="G36" s="14">
        <v>27897</v>
      </c>
      <c r="H36" s="14">
        <v>26697</v>
      </c>
      <c r="I36" s="14">
        <v>25497</v>
      </c>
      <c r="J36" s="14">
        <v>24297</v>
      </c>
      <c r="K36" s="14">
        <v>23097</v>
      </c>
      <c r="L36" s="14">
        <v>21897</v>
      </c>
      <c r="M36" s="14">
        <v>20697</v>
      </c>
      <c r="N36" s="14">
        <v>19497</v>
      </c>
      <c r="O36" s="14">
        <v>18297</v>
      </c>
      <c r="P36" s="14">
        <v>17097</v>
      </c>
      <c r="Q36" s="14">
        <v>15897</v>
      </c>
      <c r="R36" s="14">
        <v>14697</v>
      </c>
      <c r="S36" s="14">
        <v>13497</v>
      </c>
      <c r="T36" s="14">
        <v>12297</v>
      </c>
      <c r="U36" s="14">
        <v>11097</v>
      </c>
      <c r="V36" s="14">
        <v>9897</v>
      </c>
      <c r="W36" s="14">
        <v>8697</v>
      </c>
    </row>
    <row r="37" spans="1:23" s="62" customFormat="1" ht="12.75">
      <c r="A37" s="59" t="s">
        <v>185</v>
      </c>
      <c r="B37" s="58">
        <v>15819.04968</v>
      </c>
      <c r="C37" s="58">
        <v>25613.480366500004</v>
      </c>
      <c r="D37" s="58">
        <v>53374.586482728555</v>
      </c>
      <c r="E37" s="58">
        <f aca="true" t="shared" si="13" ref="E37:W37">E27+E22</f>
        <v>53715.56989991167</v>
      </c>
      <c r="F37" s="58">
        <f t="shared" si="13"/>
        <v>54553.79833238668</v>
      </c>
      <c r="G37" s="58">
        <f t="shared" si="13"/>
        <v>55608.121266348804</v>
      </c>
      <c r="H37" s="58">
        <f t="shared" si="13"/>
        <v>56237.436044320355</v>
      </c>
      <c r="I37" s="58">
        <f t="shared" si="13"/>
        <v>56740.82511896149</v>
      </c>
      <c r="J37" s="58">
        <f t="shared" si="13"/>
        <v>57264.47605472223</v>
      </c>
      <c r="K37" s="58">
        <f t="shared" si="13"/>
        <v>57773.36652951939</v>
      </c>
      <c r="L37" s="58">
        <f t="shared" si="13"/>
        <v>58345.71433643851</v>
      </c>
      <c r="M37" s="58">
        <f t="shared" si="13"/>
        <v>58934.43238546141</v>
      </c>
      <c r="N37" s="58">
        <f t="shared" si="13"/>
        <v>59560.33370521966</v>
      </c>
      <c r="O37" s="58">
        <f t="shared" si="13"/>
        <v>60183.51644477428</v>
      </c>
      <c r="P37" s="58">
        <f t="shared" si="13"/>
        <v>60746.78887542222</v>
      </c>
      <c r="Q37" s="58">
        <f t="shared" si="13"/>
        <v>61282.14939252987</v>
      </c>
      <c r="R37" s="58">
        <f t="shared" si="13"/>
        <v>61838.70651739415</v>
      </c>
      <c r="S37" s="58">
        <f t="shared" si="13"/>
        <v>62460.26389913139</v>
      </c>
      <c r="T37" s="58">
        <f t="shared" si="13"/>
        <v>63033.93531659468</v>
      </c>
      <c r="U37" s="58">
        <f t="shared" si="13"/>
        <v>63641.62968031992</v>
      </c>
      <c r="V37" s="58">
        <f t="shared" si="13"/>
        <v>64259.07603450105</v>
      </c>
      <c r="W37" s="58">
        <f t="shared" si="13"/>
        <v>64968.633558994894</v>
      </c>
    </row>
    <row r="39" spans="2:23" s="63" customFormat="1" ht="12.75"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</row>
  </sheetData>
  <sheetProtection selectLockedCells="1" selectUnlockedCells="1"/>
  <mergeCells count="49">
    <mergeCell ref="A1:W1"/>
    <mergeCell ref="C2:D2"/>
    <mergeCell ref="E2:W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P20:P21"/>
    <mergeCell ref="Q20:Q21"/>
    <mergeCell ref="R20:R21"/>
    <mergeCell ref="S20:S21"/>
    <mergeCell ref="T20:T21"/>
    <mergeCell ref="U20:U21"/>
    <mergeCell ref="V20:V21"/>
    <mergeCell ref="W20:W21"/>
  </mergeCells>
  <printOptions horizontalCentered="1" verticalCentered="1"/>
  <pageMargins left="0.7083333333333334" right="0.7083333333333334" top="0.7486111111111111" bottom="0.7486111111111111" header="0.31527777777777777" footer="0.31527777777777777"/>
  <pageSetup fitToHeight="1" fitToWidth="1" horizontalDpi="300" verticalDpi="300" orientation="landscape" paperSize="9"/>
  <headerFooter alignWithMargins="0">
    <oddHeader>&amp;R&amp;"Czcionka tekstu podstawowego,Regularna"&amp;11Zespół Opieki Zdrowotnej w Brodnicy</oddHeader>
    <oddFooter>&amp;C&amp;"Czcionka tekstu podstawowego,Regularna"&amp;11Lech Consulting Sp. z o.o.
www.LC.net.pl&amp;R&amp;"Czcionka tekstu podstawowego,Regularna"&amp;11 29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1"/>
  <sheetViews>
    <sheetView showGridLines="0" view="pageBreakPreview" zoomScale="90" zoomScaleNormal="90" zoomScaleSheetLayoutView="90" workbookViewId="0" topLeftCell="A1">
      <selection activeCell="X26" activeCellId="1" sqref="L37:N37 X26"/>
    </sheetView>
  </sheetViews>
  <sheetFormatPr defaultColWidth="10.28125" defaultRowHeight="12.75"/>
  <cols>
    <col min="1" max="1" width="5.28125" style="65" customWidth="1"/>
    <col min="2" max="2" width="16.57421875" style="65" customWidth="1"/>
    <col min="3" max="3" width="9.421875" style="65" customWidth="1"/>
    <col min="4" max="4" width="10.7109375" style="65" customWidth="1"/>
    <col min="5" max="13" width="9.421875" style="65" customWidth="1"/>
    <col min="14" max="14" width="10.140625" style="65" customWidth="1"/>
    <col min="15" max="15" width="10.421875" style="65" customWidth="1"/>
    <col min="16" max="16" width="10.57421875" style="65" customWidth="1"/>
    <col min="17" max="17" width="10.7109375" style="65" customWidth="1"/>
    <col min="18" max="18" width="11.140625" style="65" customWidth="1"/>
    <col min="19" max="19" width="11.00390625" style="65" customWidth="1"/>
    <col min="20" max="20" width="10.421875" style="65" customWidth="1"/>
    <col min="21" max="21" width="11.28125" style="65" customWidth="1"/>
    <col min="22" max="22" width="11.00390625" style="65" customWidth="1"/>
    <col min="23" max="23" width="10.8515625" style="65" customWidth="1"/>
    <col min="24" max="16384" width="10.00390625" style="65" customWidth="1"/>
  </cols>
  <sheetData>
    <row r="1" spans="1:23" ht="15.75" customHeight="1">
      <c r="A1" s="1" t="s">
        <v>186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4" customHeight="1">
      <c r="A2" s="1"/>
      <c r="B2" s="1"/>
      <c r="C2" s="3" t="s">
        <v>1</v>
      </c>
      <c r="D2" s="3"/>
      <c r="E2" s="3" t="s">
        <v>2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1" customHeight="1">
      <c r="A3" s="66"/>
      <c r="B3" s="66"/>
      <c r="C3" s="4">
        <v>2014</v>
      </c>
      <c r="D3" s="4">
        <v>2015</v>
      </c>
      <c r="E3" s="4">
        <v>2016</v>
      </c>
      <c r="F3" s="4">
        <v>2017</v>
      </c>
      <c r="G3" s="4">
        <v>2018</v>
      </c>
      <c r="H3" s="4">
        <v>2019</v>
      </c>
      <c r="I3" s="4">
        <v>2020</v>
      </c>
      <c r="J3" s="4">
        <v>2021</v>
      </c>
      <c r="K3" s="4">
        <v>2022</v>
      </c>
      <c r="L3" s="4">
        <v>2023</v>
      </c>
      <c r="M3" s="4">
        <v>2024</v>
      </c>
      <c r="N3" s="4">
        <v>2025</v>
      </c>
      <c r="O3" s="4">
        <v>2026</v>
      </c>
      <c r="P3" s="4">
        <v>2027</v>
      </c>
      <c r="Q3" s="4">
        <v>2028</v>
      </c>
      <c r="R3" s="4">
        <v>2029</v>
      </c>
      <c r="S3" s="4">
        <v>2030</v>
      </c>
      <c r="T3" s="4">
        <v>2031</v>
      </c>
      <c r="U3" s="4">
        <v>2032</v>
      </c>
      <c r="V3" s="4">
        <v>2033</v>
      </c>
      <c r="W3" s="4">
        <v>2034</v>
      </c>
    </row>
    <row r="4" spans="1:23" ht="12.75">
      <c r="A4" s="66"/>
      <c r="B4" s="66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12.75">
      <c r="A5" s="67" t="s">
        <v>187</v>
      </c>
      <c r="B5" s="68" t="s">
        <v>188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</row>
    <row r="6" spans="1:23" ht="12.75">
      <c r="A6" s="70">
        <v>1</v>
      </c>
      <c r="B6" s="71" t="s">
        <v>189</v>
      </c>
      <c r="C6" s="72">
        <v>1261.5249500000043</v>
      </c>
      <c r="D6" s="72">
        <v>1632.341210911665</v>
      </c>
      <c r="E6" s="72">
        <v>2314.0210000000006</v>
      </c>
      <c r="F6" s="72">
        <v>2609.595000000001</v>
      </c>
      <c r="G6" s="72">
        <v>2438.2000000000007</v>
      </c>
      <c r="H6" s="72">
        <v>2027.6950000000006</v>
      </c>
      <c r="I6" s="72">
        <v>1916.2649999999994</v>
      </c>
      <c r="J6" s="72">
        <v>1953.0149999999994</v>
      </c>
      <c r="K6" s="72">
        <v>1954.7350000000006</v>
      </c>
      <c r="L6" s="72">
        <v>2036.6650000000009</v>
      </c>
      <c r="M6" s="72">
        <v>2072.5</v>
      </c>
      <c r="N6" s="72">
        <v>2131.1399999999994</v>
      </c>
      <c r="O6" s="72">
        <v>2150.8700000000026</v>
      </c>
      <c r="P6" s="72">
        <v>2114.4000000000015</v>
      </c>
      <c r="Q6" s="72">
        <v>2109.9199999999983</v>
      </c>
      <c r="R6" s="72">
        <v>2180.540000000001</v>
      </c>
      <c r="S6" s="72">
        <v>2253.9550000000017</v>
      </c>
      <c r="T6" s="72">
        <v>2237.4749999999985</v>
      </c>
      <c r="U6" s="72">
        <v>2304.894999999997</v>
      </c>
      <c r="V6" s="72">
        <v>2350.0350000000035</v>
      </c>
      <c r="W6" s="72">
        <v>2479.5250000000015</v>
      </c>
    </row>
    <row r="7" spans="1:23" ht="12.75">
      <c r="A7" s="70">
        <v>2</v>
      </c>
      <c r="B7" s="71" t="s">
        <v>48</v>
      </c>
      <c r="C7" s="72">
        <v>1034</v>
      </c>
      <c r="D7" s="72">
        <v>1374</v>
      </c>
      <c r="E7" s="72">
        <v>1990</v>
      </c>
      <c r="F7" s="72">
        <v>1990</v>
      </c>
      <c r="G7" s="72">
        <v>1995</v>
      </c>
      <c r="H7" s="72">
        <v>2000</v>
      </c>
      <c r="I7" s="72">
        <v>2002</v>
      </c>
      <c r="J7" s="72">
        <v>2005</v>
      </c>
      <c r="K7" s="72">
        <v>2008</v>
      </c>
      <c r="L7" s="72">
        <v>2010</v>
      </c>
      <c r="M7" s="72">
        <v>2013</v>
      </c>
      <c r="N7" s="72">
        <v>2020</v>
      </c>
      <c r="O7" s="72">
        <v>2025</v>
      </c>
      <c r="P7" s="72">
        <v>2028</v>
      </c>
      <c r="Q7" s="72">
        <v>2030</v>
      </c>
      <c r="R7" s="72">
        <v>2035</v>
      </c>
      <c r="S7" s="72">
        <v>2038</v>
      </c>
      <c r="T7" s="72">
        <v>2042</v>
      </c>
      <c r="U7" s="72">
        <v>2045</v>
      </c>
      <c r="V7" s="72">
        <v>2048</v>
      </c>
      <c r="W7" s="72">
        <v>2050</v>
      </c>
    </row>
    <row r="8" spans="1:23" ht="12.75">
      <c r="A8" s="73">
        <v>3</v>
      </c>
      <c r="B8" s="71" t="s">
        <v>190</v>
      </c>
      <c r="C8" s="72">
        <v>-8.441989999999997</v>
      </c>
      <c r="D8" s="72">
        <v>0</v>
      </c>
      <c r="E8" s="72">
        <v>-1.4000000000000057</v>
      </c>
      <c r="F8" s="72">
        <v>-1.4279999999999973</v>
      </c>
      <c r="G8" s="72">
        <v>-1.456559999999996</v>
      </c>
      <c r="H8" s="72">
        <v>-1.485691200000005</v>
      </c>
      <c r="I8" s="72">
        <v>-1.5154050240000032</v>
      </c>
      <c r="J8" s="72">
        <v>-1.5457131244800024</v>
      </c>
      <c r="K8" s="72">
        <v>-1.576627386969605</v>
      </c>
      <c r="L8" s="72">
        <v>-1.6081599347089934</v>
      </c>
      <c r="M8" s="72">
        <v>-1.6403231334031716</v>
      </c>
      <c r="N8" s="72">
        <v>-1.6731295960712345</v>
      </c>
      <c r="O8" s="72">
        <v>-1.7065921879926549</v>
      </c>
      <c r="P8" s="72">
        <v>-1.7407240317525208</v>
      </c>
      <c r="Q8" s="72">
        <v>-1.7755385123875698</v>
      </c>
      <c r="R8" s="72">
        <v>-1.8110492826353237</v>
      </c>
      <c r="S8" s="72">
        <v>-1.8472702682880282</v>
      </c>
      <c r="T8" s="72">
        <v>-1.8842156736537845</v>
      </c>
      <c r="U8" s="72">
        <v>-1.9218999871268636</v>
      </c>
      <c r="V8" s="72">
        <v>-1.9603379868693906</v>
      </c>
      <c r="W8" s="72">
        <v>-1.9995447466067873</v>
      </c>
    </row>
    <row r="9" spans="1:23" ht="12.75">
      <c r="A9" s="74">
        <v>4</v>
      </c>
      <c r="B9" s="71" t="s">
        <v>191</v>
      </c>
      <c r="C9" s="72">
        <v>-579.8741110000001</v>
      </c>
      <c r="D9" s="72">
        <v>313.88975100000016</v>
      </c>
      <c r="E9" s="72">
        <v>-102.85680000000048</v>
      </c>
      <c r="F9" s="72">
        <v>-44.79500000000007</v>
      </c>
      <c r="G9" s="72">
        <v>-10.625</v>
      </c>
      <c r="H9" s="72">
        <v>-19.210000000000036</v>
      </c>
      <c r="I9" s="72">
        <v>-61.11499999999978</v>
      </c>
      <c r="J9" s="72">
        <v>-36.039999999999964</v>
      </c>
      <c r="K9" s="72">
        <v>-30.26000000000022</v>
      </c>
      <c r="L9" s="72">
        <v>-39.69499999999971</v>
      </c>
      <c r="M9" s="72">
        <v>-34</v>
      </c>
      <c r="N9" s="72">
        <v>-46.58000000000038</v>
      </c>
      <c r="O9" s="72">
        <v>-39.86499999999978</v>
      </c>
      <c r="P9" s="72">
        <v>-28.2199999999998</v>
      </c>
      <c r="Q9" s="72">
        <v>-29.75</v>
      </c>
      <c r="R9" s="72">
        <v>-35.445000000000164</v>
      </c>
      <c r="S9" s="72">
        <v>-35.27500000000009</v>
      </c>
      <c r="T9" s="72">
        <v>-29.920000000000073</v>
      </c>
      <c r="U9" s="72">
        <v>-38.8449999999998</v>
      </c>
      <c r="V9" s="72">
        <v>-42.414999999999964</v>
      </c>
      <c r="W9" s="72">
        <v>-32.64000000000033</v>
      </c>
    </row>
    <row r="10" spans="1:23" ht="12.75">
      <c r="A10" s="75">
        <v>5</v>
      </c>
      <c r="B10" s="71" t="s">
        <v>192</v>
      </c>
      <c r="C10" s="72">
        <v>1823.3779965000006</v>
      </c>
      <c r="D10" s="72">
        <v>55.16433131687609</v>
      </c>
      <c r="E10" s="72">
        <v>-782.0375828168771</v>
      </c>
      <c r="F10" s="72">
        <v>32.63343247499961</v>
      </c>
      <c r="G10" s="72">
        <v>33.12293396212499</v>
      </c>
      <c r="H10" s="72">
        <v>33.61977797155669</v>
      </c>
      <c r="I10" s="72">
        <v>34.12407464112994</v>
      </c>
      <c r="J10" s="72">
        <v>34.63593576074709</v>
      </c>
      <c r="K10" s="72">
        <v>35.15547479715815</v>
      </c>
      <c r="L10" s="72">
        <v>35.68280691911559</v>
      </c>
      <c r="M10" s="72">
        <v>36.21804902290205</v>
      </c>
      <c r="N10" s="72">
        <v>36.76131975824592</v>
      </c>
      <c r="O10" s="72">
        <v>37.312739554619384</v>
      </c>
      <c r="P10" s="72">
        <v>37.87243064793893</v>
      </c>
      <c r="Q10" s="72">
        <v>38.4405171076578</v>
      </c>
      <c r="R10" s="72">
        <v>39.01712486427277</v>
      </c>
      <c r="S10" s="72">
        <v>39.602381737236556</v>
      </c>
      <c r="T10" s="72">
        <v>40.19641746329535</v>
      </c>
      <c r="U10" s="72">
        <v>40.7993637252448</v>
      </c>
      <c r="V10" s="72">
        <v>41.41135418112344</v>
      </c>
      <c r="W10" s="72">
        <v>42.032524493840356</v>
      </c>
    </row>
    <row r="11" spans="1:23" ht="12.75">
      <c r="A11" s="74">
        <v>6</v>
      </c>
      <c r="B11" s="71" t="s">
        <v>193</v>
      </c>
      <c r="C11" s="72">
        <v>4426.867369999999</v>
      </c>
      <c r="D11" s="72">
        <v>-279.2</v>
      </c>
      <c r="E11" s="72">
        <v>-501.6412509116667</v>
      </c>
      <c r="F11" s="72">
        <v>-987</v>
      </c>
      <c r="G11" s="72">
        <v>-607</v>
      </c>
      <c r="H11" s="72">
        <v>-627</v>
      </c>
      <c r="I11" s="72">
        <v>-632</v>
      </c>
      <c r="J11" s="72">
        <v>-652</v>
      </c>
      <c r="K11" s="72">
        <v>-673</v>
      </c>
      <c r="L11" s="72">
        <v>-686</v>
      </c>
      <c r="M11" s="72">
        <v>-708</v>
      </c>
      <c r="N11" s="72">
        <v>-728</v>
      </c>
      <c r="O11" s="72">
        <v>-746</v>
      </c>
      <c r="P11" s="72">
        <v>-767</v>
      </c>
      <c r="Q11" s="72">
        <v>-791</v>
      </c>
      <c r="R11" s="72">
        <v>-818</v>
      </c>
      <c r="S11" s="72">
        <v>-846</v>
      </c>
      <c r="T11" s="72">
        <v>-876</v>
      </c>
      <c r="U11" s="72">
        <v>-908</v>
      </c>
      <c r="V11" s="72">
        <v>-941</v>
      </c>
      <c r="W11" s="72">
        <v>-977</v>
      </c>
    </row>
    <row r="12" spans="1:23" s="79" customFormat="1" ht="12.75">
      <c r="A12" s="76" t="s">
        <v>47</v>
      </c>
      <c r="B12" s="77" t="s">
        <v>194</v>
      </c>
      <c r="C12" s="78">
        <f aca="true" t="shared" si="0" ref="C12:O12">SUM(C6:C11)</f>
        <v>7957.454215500004</v>
      </c>
      <c r="D12" s="78">
        <f t="shared" si="0"/>
        <v>3096.1952932285412</v>
      </c>
      <c r="E12" s="78">
        <f t="shared" si="0"/>
        <v>2916.085366271456</v>
      </c>
      <c r="F12" s="78">
        <f t="shared" si="0"/>
        <v>3599.005432475001</v>
      </c>
      <c r="G12" s="78">
        <f t="shared" si="0"/>
        <v>3847.2413739621256</v>
      </c>
      <c r="H12" s="78">
        <f t="shared" si="0"/>
        <v>3413.6190867715572</v>
      </c>
      <c r="I12" s="78">
        <f t="shared" si="0"/>
        <v>3257.7586696171293</v>
      </c>
      <c r="J12" s="78">
        <f t="shared" si="0"/>
        <v>3303.0652226362663</v>
      </c>
      <c r="K12" s="78">
        <f t="shared" si="0"/>
        <v>3293.0538474101886</v>
      </c>
      <c r="L12" s="78">
        <f t="shared" si="0"/>
        <v>3355.044646984408</v>
      </c>
      <c r="M12" s="78">
        <f t="shared" si="0"/>
        <v>3378.0777258894987</v>
      </c>
      <c r="N12" s="78">
        <f t="shared" si="0"/>
        <v>3411.6481901621737</v>
      </c>
      <c r="O12" s="78">
        <f t="shared" si="0"/>
        <v>3425.6111473666297</v>
      </c>
      <c r="P12" s="78">
        <f aca="true" t="shared" si="1" ref="P12:W12">SUM(P6:P11)</f>
        <v>3383.311706616188</v>
      </c>
      <c r="Q12" s="78">
        <f t="shared" si="1"/>
        <v>3355.8349785952687</v>
      </c>
      <c r="R12" s="78">
        <f t="shared" si="1"/>
        <v>3399.301075581638</v>
      </c>
      <c r="S12" s="78">
        <f t="shared" si="1"/>
        <v>3448.4351114689503</v>
      </c>
      <c r="T12" s="78">
        <f t="shared" si="1"/>
        <v>3411.86720178964</v>
      </c>
      <c r="U12" s="78">
        <f t="shared" si="1"/>
        <v>3441.927463738115</v>
      </c>
      <c r="V12" s="78">
        <f t="shared" si="1"/>
        <v>3454.0710161942575</v>
      </c>
      <c r="W12" s="78">
        <f t="shared" si="1"/>
        <v>3559.9179797472348</v>
      </c>
    </row>
    <row r="13" spans="1:23" ht="12.75">
      <c r="A13" s="67" t="s">
        <v>195</v>
      </c>
      <c r="B13" s="68" t="s">
        <v>196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</row>
    <row r="14" spans="1:23" ht="12.75">
      <c r="A14" s="81">
        <v>1</v>
      </c>
      <c r="B14" s="82" t="s">
        <v>197</v>
      </c>
      <c r="C14" s="72">
        <v>-5080.80113</v>
      </c>
      <c r="D14" s="72">
        <v>-30109.303508635756</v>
      </c>
      <c r="E14" s="72">
        <v>-2034.697221364244</v>
      </c>
      <c r="F14" s="72">
        <v>-1920</v>
      </c>
      <c r="G14" s="72">
        <v>-2000</v>
      </c>
      <c r="H14" s="72">
        <v>-2000</v>
      </c>
      <c r="I14" s="72">
        <v>-2000</v>
      </c>
      <c r="J14" s="72">
        <v>-2000</v>
      </c>
      <c r="K14" s="72">
        <v>-2000</v>
      </c>
      <c r="L14" s="72">
        <v>-2000</v>
      </c>
      <c r="M14" s="72">
        <v>-2000</v>
      </c>
      <c r="N14" s="72">
        <v>-2000</v>
      </c>
      <c r="O14" s="72">
        <v>-2000</v>
      </c>
      <c r="P14" s="72">
        <v>-2000</v>
      </c>
      <c r="Q14" s="72">
        <v>-2000</v>
      </c>
      <c r="R14" s="72">
        <v>-2000</v>
      </c>
      <c r="S14" s="72">
        <v>-2000</v>
      </c>
      <c r="T14" s="72">
        <v>-2000</v>
      </c>
      <c r="U14" s="72">
        <v>-2000</v>
      </c>
      <c r="V14" s="72">
        <v>-2000</v>
      </c>
      <c r="W14" s="72">
        <v>-2000</v>
      </c>
    </row>
    <row r="15" spans="1:23" s="86" customFormat="1" ht="12.75">
      <c r="A15" s="83">
        <v>2</v>
      </c>
      <c r="B15" s="84" t="s">
        <v>198</v>
      </c>
      <c r="C15" s="85">
        <v>0</v>
      </c>
      <c r="D15" s="85">
        <v>0</v>
      </c>
      <c r="E15" s="85">
        <v>0</v>
      </c>
      <c r="F15" s="85">
        <v>0</v>
      </c>
      <c r="G15" s="85">
        <v>0</v>
      </c>
      <c r="H15" s="85">
        <v>0</v>
      </c>
      <c r="I15" s="85">
        <v>0</v>
      </c>
      <c r="J15" s="85">
        <v>0</v>
      </c>
      <c r="K15" s="85">
        <v>0</v>
      </c>
      <c r="L15" s="85">
        <v>0</v>
      </c>
      <c r="M15" s="85">
        <v>0</v>
      </c>
      <c r="N15" s="85">
        <v>0</v>
      </c>
      <c r="O15" s="85">
        <v>0</v>
      </c>
      <c r="P15" s="85">
        <v>0</v>
      </c>
      <c r="Q15" s="85">
        <v>0</v>
      </c>
      <c r="R15" s="85">
        <v>0</v>
      </c>
      <c r="S15" s="85">
        <v>0</v>
      </c>
      <c r="T15" s="85">
        <v>0</v>
      </c>
      <c r="U15" s="85">
        <v>0</v>
      </c>
      <c r="V15" s="85">
        <v>0</v>
      </c>
      <c r="W15" s="85">
        <v>0</v>
      </c>
    </row>
    <row r="16" spans="1:23" s="86" customFormat="1" ht="12.75">
      <c r="A16" s="87">
        <v>3</v>
      </c>
      <c r="B16" s="84" t="s">
        <v>199</v>
      </c>
      <c r="C16" s="85">
        <v>0</v>
      </c>
      <c r="D16" s="85">
        <v>0</v>
      </c>
      <c r="E16" s="85">
        <v>0</v>
      </c>
      <c r="F16" s="85">
        <v>0</v>
      </c>
      <c r="G16" s="85">
        <v>0</v>
      </c>
      <c r="H16" s="85">
        <v>0</v>
      </c>
      <c r="I16" s="85">
        <v>0</v>
      </c>
      <c r="J16" s="85">
        <v>0</v>
      </c>
      <c r="K16" s="85">
        <v>0</v>
      </c>
      <c r="L16" s="85">
        <v>0</v>
      </c>
      <c r="M16" s="85">
        <v>0</v>
      </c>
      <c r="N16" s="85">
        <v>0</v>
      </c>
      <c r="O16" s="85">
        <v>0</v>
      </c>
      <c r="P16" s="85">
        <v>0</v>
      </c>
      <c r="Q16" s="85">
        <v>0</v>
      </c>
      <c r="R16" s="85">
        <v>0</v>
      </c>
      <c r="S16" s="85">
        <v>0</v>
      </c>
      <c r="T16" s="85">
        <v>0</v>
      </c>
      <c r="U16" s="85">
        <v>0</v>
      </c>
      <c r="V16" s="85">
        <v>0</v>
      </c>
      <c r="W16" s="85">
        <v>0</v>
      </c>
    </row>
    <row r="17" spans="1:23" s="79" customFormat="1" ht="12.75">
      <c r="A17" s="88" t="s">
        <v>49</v>
      </c>
      <c r="B17" s="89" t="s">
        <v>200</v>
      </c>
      <c r="C17" s="78">
        <f aca="true" t="shared" si="2" ref="C17:W17">SUM(C14:C16)</f>
        <v>-5080.80113</v>
      </c>
      <c r="D17" s="78">
        <f t="shared" si="2"/>
        <v>-30109.303508635756</v>
      </c>
      <c r="E17" s="78">
        <f t="shared" si="2"/>
        <v>-2034.697221364244</v>
      </c>
      <c r="F17" s="78">
        <f t="shared" si="2"/>
        <v>-1920</v>
      </c>
      <c r="G17" s="78">
        <f t="shared" si="2"/>
        <v>-2000</v>
      </c>
      <c r="H17" s="78">
        <f t="shared" si="2"/>
        <v>-2000</v>
      </c>
      <c r="I17" s="78">
        <f t="shared" si="2"/>
        <v>-2000</v>
      </c>
      <c r="J17" s="78">
        <f t="shared" si="2"/>
        <v>-2000</v>
      </c>
      <c r="K17" s="78">
        <f t="shared" si="2"/>
        <v>-2000</v>
      </c>
      <c r="L17" s="78">
        <f t="shared" si="2"/>
        <v>-2000</v>
      </c>
      <c r="M17" s="78">
        <f t="shared" si="2"/>
        <v>-2000</v>
      </c>
      <c r="N17" s="78">
        <f t="shared" si="2"/>
        <v>-2000</v>
      </c>
      <c r="O17" s="78">
        <f t="shared" si="2"/>
        <v>-2000</v>
      </c>
      <c r="P17" s="78">
        <f t="shared" si="2"/>
        <v>-2000</v>
      </c>
      <c r="Q17" s="78">
        <f t="shared" si="2"/>
        <v>-2000</v>
      </c>
      <c r="R17" s="78">
        <f t="shared" si="2"/>
        <v>-2000</v>
      </c>
      <c r="S17" s="78">
        <f t="shared" si="2"/>
        <v>-2000</v>
      </c>
      <c r="T17" s="78">
        <f t="shared" si="2"/>
        <v>-2000</v>
      </c>
      <c r="U17" s="78">
        <f t="shared" si="2"/>
        <v>-2000</v>
      </c>
      <c r="V17" s="78">
        <f t="shared" si="2"/>
        <v>-2000</v>
      </c>
      <c r="W17" s="78">
        <f t="shared" si="2"/>
        <v>-2000</v>
      </c>
    </row>
    <row r="18" spans="1:23" ht="12.75">
      <c r="A18" s="90" t="s">
        <v>201</v>
      </c>
      <c r="B18" s="91" t="s">
        <v>202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</row>
    <row r="19" spans="1:23" ht="12.75">
      <c r="A19" s="75">
        <v>1</v>
      </c>
      <c r="B19" s="82" t="s">
        <v>203</v>
      </c>
      <c r="C19" s="92">
        <v>-1403.48452</v>
      </c>
      <c r="D19" s="92">
        <v>7576.600574</v>
      </c>
      <c r="E19" s="92">
        <v>-191</v>
      </c>
      <c r="F19" s="92">
        <v>-204</v>
      </c>
      <c r="G19" s="92">
        <v>-217</v>
      </c>
      <c r="H19" s="92">
        <v>-232</v>
      </c>
      <c r="I19" s="92">
        <v>-247</v>
      </c>
      <c r="J19" s="92">
        <v>-264</v>
      </c>
      <c r="K19" s="92">
        <v>-281</v>
      </c>
      <c r="L19" s="92">
        <v>-300</v>
      </c>
      <c r="M19" s="92">
        <v>-320</v>
      </c>
      <c r="N19" s="92">
        <v>-342</v>
      </c>
      <c r="O19" s="92">
        <v>-365</v>
      </c>
      <c r="P19" s="92">
        <v>-390</v>
      </c>
      <c r="Q19" s="92">
        <v>-414</v>
      </c>
      <c r="R19" s="92">
        <v>-464</v>
      </c>
      <c r="S19" s="92">
        <v>-473</v>
      </c>
      <c r="T19" s="92">
        <v>-505</v>
      </c>
      <c r="U19" s="92">
        <v>-539</v>
      </c>
      <c r="V19" s="92">
        <v>-575</v>
      </c>
      <c r="W19" s="92">
        <v>-613</v>
      </c>
    </row>
    <row r="20" spans="1:23" s="86" customFormat="1" ht="12.75">
      <c r="A20" s="87">
        <v>2</v>
      </c>
      <c r="B20" s="84" t="s">
        <v>204</v>
      </c>
      <c r="C20" s="85">
        <v>2600</v>
      </c>
      <c r="D20" s="85">
        <v>18899</v>
      </c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</row>
    <row r="21" spans="1:23" s="86" customFormat="1" ht="12.75">
      <c r="A21" s="87">
        <v>3</v>
      </c>
      <c r="B21" s="84" t="s">
        <v>205</v>
      </c>
      <c r="C21" s="85">
        <v>1144.9999999999998</v>
      </c>
      <c r="D21" s="85">
        <v>6.59383658785373E-12</v>
      </c>
      <c r="E21" s="85">
        <v>0</v>
      </c>
      <c r="F21" s="85">
        <v>0</v>
      </c>
      <c r="G21" s="85">
        <v>0</v>
      </c>
      <c r="H21" s="85">
        <v>0</v>
      </c>
      <c r="I21" s="85">
        <v>0</v>
      </c>
      <c r="J21" s="85">
        <v>0</v>
      </c>
      <c r="K21" s="85">
        <v>0</v>
      </c>
      <c r="L21" s="85">
        <v>0</v>
      </c>
      <c r="M21" s="85">
        <v>0</v>
      </c>
      <c r="N21" s="85">
        <v>0</v>
      </c>
      <c r="O21" s="85">
        <v>0</v>
      </c>
      <c r="P21" s="85">
        <v>0</v>
      </c>
      <c r="Q21" s="85">
        <v>0</v>
      </c>
      <c r="R21" s="85">
        <v>0</v>
      </c>
      <c r="S21" s="85">
        <v>0</v>
      </c>
      <c r="T21" s="85">
        <v>0</v>
      </c>
      <c r="U21" s="85">
        <v>0</v>
      </c>
      <c r="V21" s="85">
        <v>0</v>
      </c>
      <c r="W21" s="85">
        <v>0</v>
      </c>
    </row>
    <row r="22" spans="1:23" s="86" customFormat="1" ht="12.75">
      <c r="A22" s="87">
        <v>4</v>
      </c>
      <c r="B22" s="84" t="s">
        <v>206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</row>
    <row r="23" spans="1:23" s="86" customFormat="1" ht="12.75">
      <c r="A23" s="87">
        <v>5</v>
      </c>
      <c r="B23" s="84" t="s">
        <v>207</v>
      </c>
      <c r="C23" s="85">
        <v>-46.78792</v>
      </c>
      <c r="D23" s="85">
        <v>-122.80000000000001</v>
      </c>
      <c r="E23" s="85">
        <v>-418.3587490883333</v>
      </c>
      <c r="F23" s="85">
        <v>-613</v>
      </c>
      <c r="G23" s="85">
        <v>-593</v>
      </c>
      <c r="H23" s="85">
        <v>-573</v>
      </c>
      <c r="I23" s="85">
        <v>-568</v>
      </c>
      <c r="J23" s="85">
        <v>-548</v>
      </c>
      <c r="K23" s="85">
        <v>-527</v>
      </c>
      <c r="L23" s="85">
        <v>-514</v>
      </c>
      <c r="M23" s="85">
        <v>-492</v>
      </c>
      <c r="N23" s="85">
        <v>-472</v>
      </c>
      <c r="O23" s="85">
        <v>-454</v>
      </c>
      <c r="P23" s="85">
        <v>-432</v>
      </c>
      <c r="Q23" s="85">
        <v>-408</v>
      </c>
      <c r="R23" s="85">
        <v>-381</v>
      </c>
      <c r="S23" s="85">
        <v>-353</v>
      </c>
      <c r="T23" s="85">
        <v>-323</v>
      </c>
      <c r="U23" s="85">
        <v>-291</v>
      </c>
      <c r="V23" s="85">
        <v>-258</v>
      </c>
      <c r="W23" s="85">
        <v>-222</v>
      </c>
    </row>
    <row r="24" spans="1:23" s="79" customFormat="1" ht="12.75">
      <c r="A24" s="76" t="s">
        <v>208</v>
      </c>
      <c r="B24" s="93" t="s">
        <v>194</v>
      </c>
      <c r="C24" s="78">
        <f aca="true" t="shared" si="3" ref="C24:W24">SUM(C19:C23)</f>
        <v>2294.72756</v>
      </c>
      <c r="D24" s="78">
        <f t="shared" si="3"/>
        <v>26352.800574000008</v>
      </c>
      <c r="E24" s="78">
        <f t="shared" si="3"/>
        <v>-609.3587490883333</v>
      </c>
      <c r="F24" s="78">
        <f t="shared" si="3"/>
        <v>-817</v>
      </c>
      <c r="G24" s="78">
        <f t="shared" si="3"/>
        <v>-810</v>
      </c>
      <c r="H24" s="78">
        <f t="shared" si="3"/>
        <v>-805</v>
      </c>
      <c r="I24" s="78">
        <f t="shared" si="3"/>
        <v>-815</v>
      </c>
      <c r="J24" s="78">
        <f t="shared" si="3"/>
        <v>-812</v>
      </c>
      <c r="K24" s="78">
        <f t="shared" si="3"/>
        <v>-808</v>
      </c>
      <c r="L24" s="78">
        <f t="shared" si="3"/>
        <v>-814</v>
      </c>
      <c r="M24" s="78">
        <f t="shared" si="3"/>
        <v>-812</v>
      </c>
      <c r="N24" s="78">
        <f t="shared" si="3"/>
        <v>-814</v>
      </c>
      <c r="O24" s="78">
        <f t="shared" si="3"/>
        <v>-819</v>
      </c>
      <c r="P24" s="78">
        <f t="shared" si="3"/>
        <v>-822</v>
      </c>
      <c r="Q24" s="78">
        <f t="shared" si="3"/>
        <v>-822</v>
      </c>
      <c r="R24" s="78">
        <f t="shared" si="3"/>
        <v>-845</v>
      </c>
      <c r="S24" s="78">
        <f t="shared" si="3"/>
        <v>-826</v>
      </c>
      <c r="T24" s="78">
        <f t="shared" si="3"/>
        <v>-828</v>
      </c>
      <c r="U24" s="78">
        <f t="shared" si="3"/>
        <v>-830</v>
      </c>
      <c r="V24" s="78">
        <f t="shared" si="3"/>
        <v>-833</v>
      </c>
      <c r="W24" s="78">
        <f t="shared" si="3"/>
        <v>-835</v>
      </c>
    </row>
    <row r="25" spans="1:23" ht="12.75">
      <c r="A25" s="94" t="s">
        <v>209</v>
      </c>
      <c r="B25" s="95" t="s">
        <v>210</v>
      </c>
      <c r="C25" s="96">
        <f aca="true" t="shared" si="4" ref="C25:W25">C12+C17+C24</f>
        <v>5171.380645500003</v>
      </c>
      <c r="D25" s="96">
        <f t="shared" si="4"/>
        <v>-660.3076414072057</v>
      </c>
      <c r="E25" s="96">
        <f t="shared" si="4"/>
        <v>272.02939581887904</v>
      </c>
      <c r="F25" s="96">
        <f t="shared" si="4"/>
        <v>862.0054324750008</v>
      </c>
      <c r="G25" s="96">
        <f t="shared" si="4"/>
        <v>1037.2413739621256</v>
      </c>
      <c r="H25" s="96">
        <f t="shared" si="4"/>
        <v>608.6190867715572</v>
      </c>
      <c r="I25" s="96">
        <f t="shared" si="4"/>
        <v>442.75866961712927</v>
      </c>
      <c r="J25" s="96">
        <f t="shared" si="4"/>
        <v>491.0652226362663</v>
      </c>
      <c r="K25" s="96">
        <f t="shared" si="4"/>
        <v>485.0538474101886</v>
      </c>
      <c r="L25" s="96">
        <f t="shared" si="4"/>
        <v>541.0446469844078</v>
      </c>
      <c r="M25" s="96">
        <f t="shared" si="4"/>
        <v>566.0777258894987</v>
      </c>
      <c r="N25" s="96">
        <f t="shared" si="4"/>
        <v>597.6481901621737</v>
      </c>
      <c r="O25" s="96">
        <f t="shared" si="4"/>
        <v>606.6111473666297</v>
      </c>
      <c r="P25" s="96">
        <f t="shared" si="4"/>
        <v>561.3117066161881</v>
      </c>
      <c r="Q25" s="96">
        <f t="shared" si="4"/>
        <v>533.8349785952687</v>
      </c>
      <c r="R25" s="96">
        <f t="shared" si="4"/>
        <v>554.3010755816381</v>
      </c>
      <c r="S25" s="96">
        <f t="shared" si="4"/>
        <v>622.4351114689503</v>
      </c>
      <c r="T25" s="96">
        <f t="shared" si="4"/>
        <v>583.8672017896401</v>
      </c>
      <c r="U25" s="96">
        <f t="shared" si="4"/>
        <v>611.927463738115</v>
      </c>
      <c r="V25" s="96">
        <f t="shared" si="4"/>
        <v>621.0710161942575</v>
      </c>
      <c r="W25" s="96">
        <f t="shared" si="4"/>
        <v>724.9179797472348</v>
      </c>
    </row>
    <row r="26" spans="1:23" ht="12.75">
      <c r="A26" s="90" t="s">
        <v>211</v>
      </c>
      <c r="B26" s="95" t="s">
        <v>212</v>
      </c>
      <c r="C26" s="96">
        <f>'[1]BILANS'!B17</f>
        <v>16.13642</v>
      </c>
      <c r="D26" s="96">
        <f>'[1]BILANS'!C17</f>
        <v>5187.5</v>
      </c>
      <c r="E26" s="96">
        <f>'[1]BILANS'!D17</f>
        <v>4527.190504092796</v>
      </c>
      <c r="F26" s="96">
        <f>'[1]BILANS'!E17</f>
        <v>4799.219899911674</v>
      </c>
      <c r="G26" s="96">
        <f>'[1]BILANS'!F17</f>
        <v>5661.225332386675</v>
      </c>
      <c r="H26" s="96">
        <f>'[1]BILANS'!G17</f>
        <v>6698.466706348801</v>
      </c>
      <c r="I26" s="96">
        <f>'[1]BILANS'!H17</f>
        <v>7307.085793120357</v>
      </c>
      <c r="J26" s="96">
        <f>'[1]BILANS'!I17</f>
        <v>7749.844462737492</v>
      </c>
      <c r="K26" s="96">
        <f>'[1]BILANS'!J17</f>
        <v>8240.90968537375</v>
      </c>
      <c r="L26" s="96">
        <f>'[1]BILANS'!K17</f>
        <v>8725.963532783942</v>
      </c>
      <c r="M26" s="96">
        <f>'[1]BILANS'!L17</f>
        <v>9267.008179768352</v>
      </c>
      <c r="N26" s="96">
        <f>'[1]BILANS'!M17</f>
        <v>9833.085905657848</v>
      </c>
      <c r="O26" s="96">
        <f>'[1]BILANS'!N17</f>
        <v>10430.734095820022</v>
      </c>
      <c r="P26" s="96">
        <f>'[1]BILANS'!O17</f>
        <v>11037.345243186654</v>
      </c>
      <c r="Q26" s="96">
        <f>'[1]BILANS'!P17</f>
        <v>11598.65694980284</v>
      </c>
      <c r="R26" s="96">
        <f>'[1]BILANS'!Q17</f>
        <v>12132.491928398107</v>
      </c>
      <c r="S26" s="96">
        <f>'[1]BILANS'!R17</f>
        <v>12686.79300397975</v>
      </c>
      <c r="T26" s="96">
        <f>'[1]BILANS'!S17</f>
        <v>13309.2281154487</v>
      </c>
      <c r="U26" s="96">
        <f>'[1]BILANS'!T17</f>
        <v>13893.095317238338</v>
      </c>
      <c r="V26" s="96">
        <f>'[1]BILANS'!U17</f>
        <v>14505.022780976455</v>
      </c>
      <c r="W26" s="96">
        <f>'[1]BILANS'!V17</f>
        <v>15126.09379717071</v>
      </c>
    </row>
    <row r="27" spans="1:23" s="98" customFormat="1" ht="12.75">
      <c r="A27" s="90" t="s">
        <v>213</v>
      </c>
      <c r="B27" s="95" t="s">
        <v>214</v>
      </c>
      <c r="C27" s="97">
        <f aca="true" t="shared" si="5" ref="C27:W27">C26+C25</f>
        <v>5187.517065500003</v>
      </c>
      <c r="D27" s="97">
        <f t="shared" si="5"/>
        <v>4527.192358592794</v>
      </c>
      <c r="E27" s="97">
        <f t="shared" si="5"/>
        <v>4799.219899911675</v>
      </c>
      <c r="F27" s="97">
        <f t="shared" si="5"/>
        <v>5661.225332386674</v>
      </c>
      <c r="G27" s="97">
        <f t="shared" si="5"/>
        <v>6698.466706348801</v>
      </c>
      <c r="H27" s="97">
        <f t="shared" si="5"/>
        <v>7307.085793120359</v>
      </c>
      <c r="I27" s="97">
        <f t="shared" si="5"/>
        <v>7749.8444627374865</v>
      </c>
      <c r="J27" s="97">
        <f t="shared" si="5"/>
        <v>8240.909685373757</v>
      </c>
      <c r="K27" s="97">
        <f t="shared" si="5"/>
        <v>8725.963532783939</v>
      </c>
      <c r="L27" s="97">
        <f t="shared" si="5"/>
        <v>9267.00817976835</v>
      </c>
      <c r="M27" s="97">
        <f t="shared" si="5"/>
        <v>9833.085905657852</v>
      </c>
      <c r="N27" s="97">
        <f t="shared" si="5"/>
        <v>10430.734095820022</v>
      </c>
      <c r="O27" s="97">
        <f t="shared" si="5"/>
        <v>11037.345243186652</v>
      </c>
      <c r="P27" s="97">
        <f t="shared" si="5"/>
        <v>11598.656949802842</v>
      </c>
      <c r="Q27" s="97">
        <f t="shared" si="5"/>
        <v>12132.491928398109</v>
      </c>
      <c r="R27" s="97">
        <f t="shared" si="5"/>
        <v>12686.793003979745</v>
      </c>
      <c r="S27" s="97">
        <f t="shared" si="5"/>
        <v>13309.228115448701</v>
      </c>
      <c r="T27" s="97">
        <f t="shared" si="5"/>
        <v>13893.09531723834</v>
      </c>
      <c r="U27" s="97">
        <f t="shared" si="5"/>
        <v>14505.022780976453</v>
      </c>
      <c r="V27" s="97">
        <f t="shared" si="5"/>
        <v>15126.093797170712</v>
      </c>
      <c r="W27" s="97">
        <f t="shared" si="5"/>
        <v>15851.011776917945</v>
      </c>
    </row>
    <row r="28" spans="3:15" ht="12.75"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</row>
    <row r="29" spans="3:15" ht="12.75"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</row>
    <row r="30" spans="3:15" ht="12.75"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</row>
    <row r="31" spans="3:15" ht="12.75"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</row>
    <row r="32" spans="3:15" ht="12.75"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</row>
    <row r="33" spans="3:15" ht="12.75"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</row>
    <row r="34" spans="3:15" ht="12.75"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</row>
    <row r="35" spans="3:15" ht="12.75"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</row>
    <row r="36" spans="3:15" ht="12.75"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</row>
    <row r="37" spans="3:15" ht="12.75"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</row>
    <row r="38" spans="3:15" ht="12.75"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</row>
    <row r="39" spans="3:15" ht="12.75"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</row>
    <row r="40" spans="3:15" ht="12.75"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</row>
    <row r="41" spans="3:15" ht="12.75"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</row>
    <row r="42" spans="3:15" ht="12.75"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</row>
    <row r="43" spans="3:15" ht="12.75"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</row>
    <row r="44" spans="3:15" ht="12.75"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</row>
    <row r="45" spans="3:15" ht="12.75"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</row>
    <row r="46" spans="3:15" ht="12.75"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</row>
    <row r="47" spans="3:15" ht="12.75"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</row>
    <row r="48" spans="3:15" ht="12.75"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</row>
    <row r="49" spans="3:15" ht="12.75"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</row>
    <row r="50" spans="3:15" ht="12.75"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</row>
    <row r="51" spans="3:15" ht="12.75"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</row>
  </sheetData>
  <sheetProtection selectLockedCells="1" selectUnlockedCells="1"/>
  <mergeCells count="25">
    <mergeCell ref="A1:W1"/>
    <mergeCell ref="C2:D2"/>
    <mergeCell ref="E2:W2"/>
    <mergeCell ref="A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</mergeCells>
  <printOptions/>
  <pageMargins left="0.7083333333333334" right="0.7083333333333334" top="0.7486111111111111" bottom="0.7486111111111111" header="0.31527777777777777" footer="0.31527777777777777"/>
  <pageSetup fitToHeight="1" fitToWidth="1" horizontalDpi="300" verticalDpi="300" orientation="landscape" paperSize="9"/>
  <headerFooter alignWithMargins="0">
    <oddHeader>&amp;R&amp;"Czcionka tekstu podstawowego,Regularna"&amp;11Zespół Opieki Zdrowotnej w Brodnicy</oddHeader>
    <oddFooter>&amp;C&amp;"Czcionka tekstu podstawowego,Regularna"&amp;11Lech Consulting Sp. z o.o.
www.LC.net.pl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view="pageBreakPreview" zoomScale="90" zoomScaleSheetLayoutView="90" workbookViewId="0" topLeftCell="A1">
      <selection activeCell="A1" activeCellId="1" sqref="L37:N37 A1"/>
    </sheetView>
  </sheetViews>
  <sheetFormatPr defaultColWidth="9.140625" defaultRowHeight="12.75"/>
  <cols>
    <col min="1" max="16384" width="9.4218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4"/>
  <sheetViews>
    <sheetView showGridLines="0" view="pageBreakPreview" zoomScale="90" zoomScaleSheetLayoutView="90" workbookViewId="0" topLeftCell="A1">
      <selection activeCell="G28" activeCellId="1" sqref="L37:N37 G28"/>
    </sheetView>
  </sheetViews>
  <sheetFormatPr defaultColWidth="9.140625" defaultRowHeight="12.75"/>
  <cols>
    <col min="1" max="1" width="17.7109375" style="0" customWidth="1"/>
    <col min="2" max="2" width="11.28125" style="0" customWidth="1"/>
    <col min="3" max="24" width="7.28125" style="0" customWidth="1"/>
    <col min="25" max="16384" width="9.421875" style="0" customWidth="1"/>
  </cols>
  <sheetData>
    <row r="1" spans="1:24" ht="15.75" customHeight="1">
      <c r="A1" s="1" t="s">
        <v>215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s="63" customFormat="1" ht="39.75" customHeight="1">
      <c r="A2" s="100"/>
      <c r="B2" s="100"/>
      <c r="C2" s="100"/>
      <c r="D2" s="47" t="s">
        <v>1</v>
      </c>
      <c r="E2" s="47"/>
      <c r="F2" s="47" t="s">
        <v>2</v>
      </c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</row>
    <row r="3" spans="1:24" ht="21" customHeight="1">
      <c r="A3" s="66"/>
      <c r="B3" s="66"/>
      <c r="C3" s="4">
        <v>2013</v>
      </c>
      <c r="D3" s="4">
        <v>2014</v>
      </c>
      <c r="E3" s="4">
        <v>2015</v>
      </c>
      <c r="F3" s="4">
        <v>2016</v>
      </c>
      <c r="G3" s="4">
        <v>2017</v>
      </c>
      <c r="H3" s="4">
        <v>2018</v>
      </c>
      <c r="I3" s="4">
        <v>2019</v>
      </c>
      <c r="J3" s="4">
        <v>2020</v>
      </c>
      <c r="K3" s="4">
        <v>2021</v>
      </c>
      <c r="L3" s="4">
        <v>2022</v>
      </c>
      <c r="M3" s="4">
        <v>2023</v>
      </c>
      <c r="N3" s="4">
        <v>2024</v>
      </c>
      <c r="O3" s="4">
        <v>2025</v>
      </c>
      <c r="P3" s="4">
        <v>2026</v>
      </c>
      <c r="Q3" s="4">
        <v>2027</v>
      </c>
      <c r="R3" s="4">
        <v>2028</v>
      </c>
      <c r="S3" s="4">
        <v>2029</v>
      </c>
      <c r="T3" s="4">
        <v>2030</v>
      </c>
      <c r="U3" s="4">
        <v>2031</v>
      </c>
      <c r="V3" s="4">
        <v>2032</v>
      </c>
      <c r="W3" s="4">
        <v>2033</v>
      </c>
      <c r="X3" s="4">
        <v>2034</v>
      </c>
    </row>
    <row r="4" spans="1:24" ht="12.75">
      <c r="A4" s="66"/>
      <c r="B4" s="66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ht="14.25" customHeight="1">
      <c r="A5" s="101" t="s">
        <v>216</v>
      </c>
      <c r="B5" s="101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</row>
    <row r="6" spans="1:24" ht="17.25" customHeight="1">
      <c r="A6" s="102" t="s">
        <v>217</v>
      </c>
      <c r="B6" s="102"/>
      <c r="C6" s="103">
        <f>'[1]BILANS'!B14/'[1]BILANS'!B32</f>
        <v>0.5833746296840727</v>
      </c>
      <c r="D6" s="103">
        <f>'[1]BILANS'!C14/'[1]BILANS'!C32</f>
        <v>1.3500304788275563</v>
      </c>
      <c r="E6" s="103">
        <f>'[1]BILANS'!D14/'[1]BILANS'!D32</f>
        <v>1.1876368935200037</v>
      </c>
      <c r="F6" s="103">
        <f>'[1]BILANS'!E14/'[1]BILANS'!E32</f>
        <v>1.403485622804675</v>
      </c>
      <c r="G6" s="103">
        <f>'[1]BILANS'!F14/'[1]BILANS'!F32</f>
        <v>1.5545715245483127</v>
      </c>
      <c r="H6" s="103">
        <f>'[1]BILANS'!G14/'[1]BILANS'!G32</f>
        <v>1.7283697485192344</v>
      </c>
      <c r="I6" s="103">
        <f>'[1]BILANS'!H14/'[1]BILANS'!H32</f>
        <v>1.8272811723595477</v>
      </c>
      <c r="J6" s="103">
        <f>'[1]BILANS'!I14/'[1]BILANS'!I32</f>
        <v>1.9035473176055802</v>
      </c>
      <c r="K6" s="103">
        <f>'[1]BILANS'!J14/'[1]BILANS'!J32</f>
        <v>1.9827300145599995</v>
      </c>
      <c r="L6" s="103">
        <f>'[1]BILANS'!K14/'[1]BILANS'!K32</f>
        <v>2.058796995533553</v>
      </c>
      <c r="M6" s="103">
        <f>'[1]BILANS'!L14/'[1]BILANS'!L32</f>
        <v>2.1448365596661803</v>
      </c>
      <c r="N6" s="103">
        <f>'[1]BILANS'!M14/'[1]BILANS'!M32</f>
        <v>2.2328987104574898</v>
      </c>
      <c r="O6" s="103">
        <f>'[1]BILANS'!N14/'[1]BILANS'!N32</f>
        <v>2.327064140507498</v>
      </c>
      <c r="P6" s="103">
        <f>'[1]BILANS'!O14/'[1]BILANS'!O32</f>
        <v>2.4202375116332266</v>
      </c>
      <c r="Q6" s="103">
        <f>'[1]BILANS'!P14/'[1]BILANS'!P32</f>
        <v>2.50264502962858</v>
      </c>
      <c r="R6" s="103">
        <f>'[1]BILANS'!Q14/'[1]BILANS'!Q32</f>
        <v>2.579541711325194</v>
      </c>
      <c r="S6" s="103">
        <f>'[1]BILANS'!R14/'[1]BILANS'!R32</f>
        <v>2.659492546671903</v>
      </c>
      <c r="T6" s="103">
        <f>'[1]BILANS'!S14/'[1]BILANS'!S32</f>
        <v>2.7491780746313936</v>
      </c>
      <c r="U6" s="103">
        <f>'[1]BILANS'!T14/'[1]BILANS'!T32</f>
        <v>2.8303947551730935</v>
      </c>
      <c r="V6" s="103">
        <f>'[1]BILANS'!U14/'[1]BILANS'!U32</f>
        <v>2.916201641354311</v>
      </c>
      <c r="W6" s="103">
        <f>'[1]BILANS'!V14/'[1]BILANS'!V32</f>
        <v>3.00262943402099</v>
      </c>
      <c r="X6" s="103">
        <f>'[1]BILANS'!W14/'[1]BILANS'!W32</f>
        <v>3.1024606731044333</v>
      </c>
    </row>
    <row r="7" spans="1:24" ht="12.75" customHeight="1">
      <c r="A7" s="102" t="s">
        <v>218</v>
      </c>
      <c r="B7" s="102"/>
      <c r="C7" s="103">
        <f>('[1]BILANS'!B14-'[1]BILANS'!B15)/'[1]BILANS'!B32</f>
        <v>0.5709737361413973</v>
      </c>
      <c r="D7" s="103">
        <f>('[1]BILANS'!C14-'[1]BILANS'!C15)/'[1]BILANS'!C32</f>
        <v>1.3390971393330882</v>
      </c>
      <c r="E7" s="103">
        <f>('[1]BILANS'!D14-'[1]BILANS'!D15)/'[1]BILANS'!D32</f>
        <v>1.1767969525614974</v>
      </c>
      <c r="F7" s="103">
        <f>('[1]BILANS'!E14-'[1]BILANS'!E15)/'[1]BILANS'!E32</f>
        <v>1.3909053712059332</v>
      </c>
      <c r="G7" s="103">
        <f>('[1]BILANS'!F14-'[1]BILANS'!F15)/'[1]BILANS'!F32</f>
        <v>1.5418130269186563</v>
      </c>
      <c r="H7" s="103">
        <f>('[1]BILANS'!G14-'[1]BILANS'!G15)/'[1]BILANS'!G32</f>
        <v>1.7154311596579392</v>
      </c>
      <c r="I7" s="103">
        <f>('[1]BILANS'!H14-'[1]BILANS'!H15)/'[1]BILANS'!H32</f>
        <v>1.814160642383227</v>
      </c>
      <c r="J7" s="103">
        <f>('[1]BILANS'!I14-'[1]BILANS'!I15)/'[1]BILANS'!I32</f>
        <v>1.890242992205976</v>
      </c>
      <c r="K7" s="103">
        <f>('[1]BILANS'!J14-'[1]BILANS'!J15)/'[1]BILANS'!J32</f>
        <v>1.969240035263629</v>
      </c>
      <c r="L7" s="103">
        <f>('[1]BILANS'!K14-'[1]BILANS'!K15)/'[1]BILANS'!K32</f>
        <v>2.0451194999630387</v>
      </c>
      <c r="M7" s="103">
        <f>('[1]BILANS'!L14-'[1]BILANS'!L15)/'[1]BILANS'!L32</f>
        <v>2.1309696818030885</v>
      </c>
      <c r="N7" s="103">
        <f>('[1]BILANS'!M14-'[1]BILANS'!M15)/'[1]BILANS'!M32</f>
        <v>2.2188405809065035</v>
      </c>
      <c r="O7" s="103">
        <f>('[1]BILANS'!N14-'[1]BILANS'!N15)/'[1]BILANS'!N32</f>
        <v>2.312812886761741</v>
      </c>
      <c r="P7" s="103">
        <f>('[1]BILANS'!O14-'[1]BILANS'!O15)/'[1]BILANS'!O32</f>
        <v>2.4057912583405567</v>
      </c>
      <c r="Q7" s="103">
        <f>('[1]BILANS'!P14-'[1]BILANS'!P15)/'[1]BILANS'!P32</f>
        <v>2.48800189885867</v>
      </c>
      <c r="R7" s="103">
        <f>('[1]BILANS'!Q14-'[1]BILANS'!Q15)/'[1]BILANS'!Q32</f>
        <v>2.56469982283721</v>
      </c>
      <c r="S7" s="103">
        <f>('[1]BILANS'!R14-'[1]BILANS'!R15)/'[1]BILANS'!R32</f>
        <v>2.6444500181825896</v>
      </c>
      <c r="T7" s="103">
        <f>('[1]BILANS'!S14-'[1]BILANS'!S15)/'[1]BILANS'!S32</f>
        <v>2.733933022083382</v>
      </c>
      <c r="U7" s="103">
        <f>('[1]BILANS'!T14-'[1]BILANS'!T15)/'[1]BILANS'!T32</f>
        <v>2.8149452930032335</v>
      </c>
      <c r="V7" s="103">
        <f>('[1]BILANS'!U14-'[1]BILANS'!U15)/'[1]BILANS'!U32</f>
        <v>2.9005458827618362</v>
      </c>
      <c r="W7" s="103">
        <f>('[1]BILANS'!V14-'[1]BILANS'!V15)/'[1]BILANS'!V32</f>
        <v>2.986765491235322</v>
      </c>
      <c r="X7" s="103">
        <f>('[1]BILANS'!W14-'[1]BILANS'!W15)/'[1]BILANS'!W32</f>
        <v>3.086386657652427</v>
      </c>
    </row>
    <row r="8" spans="1:24" ht="25.5" customHeight="1">
      <c r="A8" s="104" t="s">
        <v>219</v>
      </c>
      <c r="B8" s="104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</row>
    <row r="9" spans="1:24" ht="24" customHeight="1">
      <c r="A9" s="102" t="s">
        <v>220</v>
      </c>
      <c r="B9" s="102"/>
      <c r="C9" s="106">
        <f>'[1]BILANS'!B15/('[1]RZiS'!B6/365)</f>
        <v>1.1097981141219977</v>
      </c>
      <c r="D9" s="106">
        <f>'[1]BILANS'!C15/('[1]RZiS'!C6/365)</f>
        <v>0.8642728072278792</v>
      </c>
      <c r="E9" s="106">
        <f>'[1]BILANS'!D15/('[1]RZiS'!D6/365)</f>
        <v>0.8443512078022679</v>
      </c>
      <c r="F9" s="106">
        <f>'[1]BILANS'!E15/('[1]RZiS'!E6/365)</f>
        <v>0.8281220209723548</v>
      </c>
      <c r="G9" s="106">
        <f>'[1]BILANS'!F15/('[1]RZiS'!F6/365)</f>
        <v>0.8307722598993655</v>
      </c>
      <c r="H9" s="106">
        <f>'[1]BILANS'!G15/('[1]RZiS'!G6/365)</f>
        <v>0.8440901687317103</v>
      </c>
      <c r="I9" s="106">
        <f>'[1]BILANS'!H15/('[1]RZiS'!H6/365)</f>
        <v>0.8549567728453072</v>
      </c>
      <c r="J9" s="106">
        <f>'[1]BILANS'!I15/('[1]RZiS'!I6/365)</f>
        <v>0.8530941579750204</v>
      </c>
      <c r="K9" s="106">
        <f>'[1]BILANS'!J15/('[1]RZiS'!J6/365)</f>
        <v>0.8591397632855157</v>
      </c>
      <c r="L9" s="106">
        <f>'[1]BILANS'!K15/('[1]RZiS'!K6/365)</f>
        <v>0.8671054689762493</v>
      </c>
      <c r="M9" s="106">
        <f>'[1]BILANS'!L15/('[1]RZiS'!L6/365)</f>
        <v>0.8724105958095207</v>
      </c>
      <c r="N9" s="106">
        <f>'[1]BILANS'!M15/('[1]RZiS'!M6/365)</f>
        <v>0.8796052062078715</v>
      </c>
      <c r="O9" s="106">
        <f>'[1]BILANS'!N15/('[1]RZiS'!N6/365)</f>
        <v>0.8832541384738827</v>
      </c>
      <c r="P9" s="106">
        <f>'[1]BILANS'!O15/('[1]RZiS'!O6/365)</f>
        <v>0.8890938842876877</v>
      </c>
      <c r="Q9" s="106">
        <f>'[1]BILANS'!P15/('[1]RZiS'!P6/365)</f>
        <v>0.8985269625675357</v>
      </c>
      <c r="R9" s="106">
        <f>'[1]BILANS'!Q15/('[1]RZiS'!Q6/365)</f>
        <v>0.9076881720290694</v>
      </c>
      <c r="S9" s="106">
        <f>'[1]BILANS'!R15/('[1]RZiS'!R6/365)</f>
        <v>0.9153592830914036</v>
      </c>
      <c r="T9" s="106">
        <f>'[1]BILANS'!S15/('[1]RZiS'!S6/365)</f>
        <v>0.9232631506022695</v>
      </c>
      <c r="U9" s="106">
        <f>'[1]BILANS'!T15/('[1]RZiS'!T6/365)</f>
        <v>0.9329115292460876</v>
      </c>
      <c r="V9" s="106">
        <f>'[1]BILANS'!U15/('[1]RZiS'!U6/365)</f>
        <v>0.9401421206802559</v>
      </c>
      <c r="W9" s="106">
        <f>'[1]BILANS'!V15/('[1]RZiS'!V6/365)</f>
        <v>0.946533126490125</v>
      </c>
      <c r="X9" s="106">
        <f>'[1]BILANS'!W15/('[1]RZiS'!W6/365)</f>
        <v>0.9559423031585706</v>
      </c>
    </row>
    <row r="10" spans="1:24" ht="24" customHeight="1">
      <c r="A10" s="102" t="s">
        <v>221</v>
      </c>
      <c r="B10" s="102"/>
      <c r="C10" s="106">
        <f>'[1]BILANS'!B16/('[1]RZiS'!B6/365)</f>
        <v>41.57566564598283</v>
      </c>
      <c r="D10" s="106">
        <f>'[1]BILANS'!C16/('[1]RZiS'!C6/365)</f>
        <v>35.63252266675099</v>
      </c>
      <c r="E10" s="106">
        <f>'[1]BILANS'!D16/('[1]RZiS'!D6/365)</f>
        <v>31.025000000000002</v>
      </c>
      <c r="F10" s="106">
        <f>'[1]BILANS'!E16/('[1]RZiS'!E6/365)</f>
        <v>31.025000000000006</v>
      </c>
      <c r="G10" s="106">
        <f>'[1]BILANS'!F16/('[1]RZiS'!F6/365)</f>
        <v>31.025000000000002</v>
      </c>
      <c r="H10" s="106">
        <f>'[1]BILANS'!G16/('[1]RZiS'!G6/365)</f>
        <v>31.025000000000002</v>
      </c>
      <c r="I10" s="106">
        <f>'[1]BILANS'!H16/('[1]RZiS'!H6/365)</f>
        <v>31.025000000000002</v>
      </c>
      <c r="J10" s="106">
        <f>'[1]BILANS'!I16/('[1]RZiS'!I6/365)</f>
        <v>31.025000000000002</v>
      </c>
      <c r="K10" s="106">
        <f>'[1]BILANS'!J16/('[1]RZiS'!J6/365)</f>
        <v>31.025000000000002</v>
      </c>
      <c r="L10" s="106">
        <f>'[1]BILANS'!K16/('[1]RZiS'!K6/365)</f>
        <v>31.025000000000006</v>
      </c>
      <c r="M10" s="106">
        <f>'[1]BILANS'!L16/('[1]RZiS'!L6/365)</f>
        <v>31.025000000000002</v>
      </c>
      <c r="N10" s="106">
        <f>'[1]BILANS'!M16/('[1]RZiS'!M6/365)</f>
        <v>31.025000000000002</v>
      </c>
      <c r="O10" s="106">
        <f>'[1]BILANS'!N16/('[1]RZiS'!N6/365)</f>
        <v>31.025000000000002</v>
      </c>
      <c r="P10" s="106">
        <f>'[1]BILANS'!O16/('[1]RZiS'!O6/365)</f>
        <v>31.025000000000002</v>
      </c>
      <c r="Q10" s="106">
        <f>'[1]BILANS'!P16/('[1]RZiS'!P6/365)</f>
        <v>31.025</v>
      </c>
      <c r="R10" s="106">
        <f>'[1]BILANS'!Q16/('[1]RZiS'!Q6/365)</f>
        <v>31.025</v>
      </c>
      <c r="S10" s="106">
        <f>'[1]BILANS'!R16/('[1]RZiS'!R6/365)</f>
        <v>31.025000000000002</v>
      </c>
      <c r="T10" s="106">
        <f>'[1]BILANS'!S16/('[1]RZiS'!S6/365)</f>
        <v>31.025000000000002</v>
      </c>
      <c r="U10" s="106">
        <f>'[1]BILANS'!T16/('[1]RZiS'!T6/365)</f>
        <v>31.025000000000002</v>
      </c>
      <c r="V10" s="106">
        <f>'[1]BILANS'!U16/('[1]RZiS'!U6/365)</f>
        <v>31.025</v>
      </c>
      <c r="W10" s="106">
        <f>'[1]BILANS'!V16/('[1]RZiS'!V6/365)</f>
        <v>31.025</v>
      </c>
      <c r="X10" s="106">
        <f>'[1]BILANS'!W16/('[1]RZiS'!W6/365)</f>
        <v>31.025000000000002</v>
      </c>
    </row>
    <row r="11" spans="1:24" ht="24" customHeight="1">
      <c r="A11" s="102" t="s">
        <v>222</v>
      </c>
      <c r="B11" s="102"/>
      <c r="C11" s="106">
        <f>'[1]BILANS'!B33/('[1]RZiS'!B6/365)</f>
        <v>34.29768442424217</v>
      </c>
      <c r="D11" s="106">
        <f>'[1]BILANS'!C33/('[1]RZiS'!C6/365)</f>
        <v>29.69376888895916</v>
      </c>
      <c r="E11" s="106">
        <f>'[1]BILANS'!D33/('[1]RZiS'!D6/365)</f>
        <v>25.854166666666664</v>
      </c>
      <c r="F11" s="106">
        <f>'[1]BILANS'!E33/('[1]RZiS'!E6/365)</f>
        <v>25.23292628614553</v>
      </c>
      <c r="G11" s="106">
        <f>'[1]BILANS'!F33/('[1]RZiS'!F6/365)</f>
        <v>25.189592558001518</v>
      </c>
      <c r="H11" s="106">
        <f>'[1]BILANS'!G33/('[1]RZiS'!G6/365)</f>
        <v>25.46794296664436</v>
      </c>
      <c r="I11" s="106">
        <f>'[1]BILANS'!H33/('[1]RZiS'!H6/365)</f>
        <v>25.669360793068147</v>
      </c>
      <c r="J11" s="106">
        <f>'[1]BILANS'!I33/('[1]RZiS'!I6/365)</f>
        <v>25.48788127674663</v>
      </c>
      <c r="K11" s="106">
        <f>'[1]BILANS'!J33/('[1]RZiS'!J6/365)</f>
        <v>25.54267972681776</v>
      </c>
      <c r="L11" s="106">
        <f>'[1]BILANS'!K33/('[1]RZiS'!K6/365)</f>
        <v>25.653134252129178</v>
      </c>
      <c r="M11" s="106">
        <f>'[1]BILANS'!L33/('[1]RZiS'!L6/365)</f>
        <v>25.683565295718758</v>
      </c>
      <c r="N11" s="106">
        <f>'[1]BILANS'!M33/('[1]RZiS'!M6/365)</f>
        <v>25.768434851951742</v>
      </c>
      <c r="O11" s="106">
        <f>'[1]BILANS'!N33/('[1]RZiS'!N6/365)</f>
        <v>25.748492120764915</v>
      </c>
      <c r="P11" s="106">
        <f>'[1]BILANS'!O33/('[1]RZiS'!O6/365)</f>
        <v>25.791678909066317</v>
      </c>
      <c r="Q11" s="106">
        <f>'[1]BILANS'!P33/('[1]RZiS'!P6/365)</f>
        <v>25.937551404107985</v>
      </c>
      <c r="R11" s="106">
        <f>'[1]BILANS'!Q33/('[1]RZiS'!Q6/365)</f>
        <v>26.07356452450063</v>
      </c>
      <c r="S11" s="106">
        <f>'[1]BILANS'!R33/('[1]RZiS'!R6/365)</f>
        <v>26.16502730399405</v>
      </c>
      <c r="T11" s="106">
        <f>'[1]BILANS'!S33/('[1]RZiS'!S6/365)</f>
        <v>26.261587459798424</v>
      </c>
      <c r="U11" s="106">
        <f>'[1]BILANS'!T33/('[1]RZiS'!T6/365)</f>
        <v>26.4059504033379</v>
      </c>
      <c r="V11" s="106">
        <f>'[1]BILANS'!U33/('[1]RZiS'!U6/365)</f>
        <v>26.480167264256302</v>
      </c>
      <c r="W11" s="106">
        <f>'[1]BILANS'!V33/('[1]RZiS'!V6/365)</f>
        <v>26.529490035797977</v>
      </c>
      <c r="X11" s="106">
        <f>'[1]BILANS'!W33/('[1]RZiS'!W6/365)</f>
        <v>26.66187176182991</v>
      </c>
    </row>
    <row r="12" spans="1:24" ht="27.75" customHeight="1">
      <c r="A12" s="101" t="s">
        <v>223</v>
      </c>
      <c r="B12" s="101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</row>
    <row r="13" spans="1:24" ht="12.75" customHeight="1">
      <c r="A13" s="102" t="s">
        <v>224</v>
      </c>
      <c r="B13" s="102"/>
      <c r="C13" s="107">
        <f>'[1]BILANS'!B27/'[1]BILANS'!B19</f>
        <v>0.8416759555616314</v>
      </c>
      <c r="D13" s="107">
        <f>'[1]BILANS'!C27/'[1]BILANS'!C19</f>
        <v>0.80826321223619</v>
      </c>
      <c r="E13" s="107">
        <f>'[1]BILANS'!D27/'[1]BILANS'!D19</f>
        <v>0.8774063352597767</v>
      </c>
      <c r="F13" s="107">
        <f>'[1]BILANS'!E27/'[1]BILANS'!E19</f>
        <v>0.8351054046821862</v>
      </c>
      <c r="G13" s="107">
        <f>'[1]BILANS'!F27/'[1]BILANS'!F19</f>
        <v>0.7898037806452035</v>
      </c>
      <c r="H13" s="107">
        <f>'[1]BILANS'!G27/'[1]BILANS'!G19</f>
        <v>0.7499429607716959</v>
      </c>
      <c r="I13" s="107">
        <f>'[1]BILANS'!H27/'[1]BILANS'!H19</f>
        <v>0.716685213949742</v>
      </c>
      <c r="J13" s="107">
        <f>'[1]BILANS'!I27/'[1]BILANS'!I19</f>
        <v>0.6854264610447672</v>
      </c>
      <c r="K13" s="107">
        <f>'[1]BILANS'!J27/'[1]BILANS'!J19</f>
        <v>0.6541978810390474</v>
      </c>
      <c r="L13" s="107">
        <f>'[1]BILANS'!K27/'[1]BILANS'!K19</f>
        <v>0.6234093066085227</v>
      </c>
      <c r="M13" s="107">
        <f>'[1]BILANS'!L27/'[1]BILANS'!L19</f>
        <v>0.5921966603457637</v>
      </c>
      <c r="N13" s="107">
        <f>'[1]BILANS'!M27/'[1]BILANS'!M19</f>
        <v>0.5611041607776203</v>
      </c>
      <c r="O13" s="107">
        <f>'[1]BILANS'!N27/'[1]BILANS'!N19</f>
        <v>0.5299351864031262</v>
      </c>
      <c r="P13" s="107">
        <f>'[1]BILANS'!O27/'[1]BILANS'!O19</f>
        <v>0.4990640470704926</v>
      </c>
      <c r="Q13" s="107">
        <f>'[1]BILANS'!P27/'[1]BILANS'!P19</f>
        <v>0.4689021797172741</v>
      </c>
      <c r="R13" s="107">
        <f>'[1]BILANS'!Q27/'[1]BILANS'!Q19</f>
        <v>0.4391122455456567</v>
      </c>
      <c r="S13" s="107">
        <f>'[1]BILANS'!R27/'[1]BILANS'!R19</f>
        <v>0.40889858117213407</v>
      </c>
      <c r="T13" s="107">
        <f>'[1]BILANS'!S27/'[1]BILANS'!S19</f>
        <v>0.3786945533310282</v>
      </c>
      <c r="U13" s="107">
        <f>'[1]BILANS'!T27/'[1]BILANS'!T19</f>
        <v>0.34885269411211745</v>
      </c>
      <c r="V13" s="107">
        <f>'[1]BILANS'!U27/'[1]BILANS'!U19</f>
        <v>0.3188535180720444</v>
      </c>
      <c r="W13" s="107">
        <f>'[1]BILANS'!V27/'[1]BILANS'!V19</f>
        <v>0.2888271979451514</v>
      </c>
      <c r="X13" s="107">
        <f>'[1]BILANS'!W27/'[1]BILANS'!W19</f>
        <v>0.2584293447212061</v>
      </c>
    </row>
    <row r="14" spans="1:24" ht="15" customHeight="1">
      <c r="A14" s="101" t="s">
        <v>225</v>
      </c>
      <c r="B14" s="101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</row>
    <row r="15" spans="1:24" ht="24" customHeight="1">
      <c r="A15" s="108" t="s">
        <v>226</v>
      </c>
      <c r="B15" s="108"/>
      <c r="C15" s="109">
        <f>'[1]RZiS'!B30/'[1]RZiS'!B6</f>
        <v>-0.08663248829032996</v>
      </c>
      <c r="D15" s="109">
        <f>'[1]RZiS'!C30/'[1]RZiS'!C6</f>
        <v>0.04267325674851326</v>
      </c>
      <c r="E15" s="109">
        <f>'[1]RZiS'!D30/'[1]RZiS'!D6</f>
        <v>0.053944002856308446</v>
      </c>
      <c r="F15" s="109">
        <f>'[1]RZiS'!E30/'[1]RZiS'!E6</f>
        <v>0.07353101366380682</v>
      </c>
      <c r="G15" s="109">
        <f>'[1]RZiS'!F30/'[1]RZiS'!F6</f>
        <v>0.08155748976466548</v>
      </c>
      <c r="H15" s="109">
        <f>'[1]RZiS'!G30/'[1]RZiS'!G6</f>
        <v>0.07590436460992468</v>
      </c>
      <c r="I15" s="109">
        <f>'[1]RZiS'!H30/'[1]RZiS'!H6</f>
        <v>0.06268378261407198</v>
      </c>
      <c r="J15" s="109">
        <f>'[1]RZiS'!I30/'[1]RZiS'!I6</f>
        <v>0.05795097831675082</v>
      </c>
      <c r="K15" s="109">
        <f>'[1]RZiS'!J30/'[1]RZiS'!J6</f>
        <v>0.05831462183870292</v>
      </c>
      <c r="L15" s="109">
        <f>'[1]RZiS'!K30/'[1]RZiS'!K6</f>
        <v>0.05775209028865189</v>
      </c>
      <c r="M15" s="109">
        <f>'[1]RZiS'!L30/'[1]RZiS'!L6</f>
        <v>0.059353762312758664</v>
      </c>
      <c r="N15" s="109">
        <f>'[1]RZiS'!M30/'[1]RZiS'!M6</f>
        <v>0.05970213746615199</v>
      </c>
      <c r="O15" s="109">
        <f>'[1]RZiS'!N30/'[1]RZiS'!N6</f>
        <v>0.06043729794112641</v>
      </c>
      <c r="P15" s="109">
        <f>'[1]RZiS'!O30/'[1]RZiS'!O6</f>
        <v>0.060196188183929994</v>
      </c>
      <c r="Q15" s="109">
        <f>'[1]RZiS'!P30/'[1]RZiS'!P6</f>
        <v>0.05863072955660931</v>
      </c>
      <c r="R15" s="109">
        <f>'[1]RZiS'!Q30/'[1]RZiS'!Q6</f>
        <v>0.05794414082882482</v>
      </c>
      <c r="S15" s="109">
        <f>'[1]RZiS'!R30/'[1]RZiS'!R6</f>
        <v>0.05920553896280209</v>
      </c>
      <c r="T15" s="109">
        <f>'[1]RZiS'!S30/'[1]RZiS'!S6</f>
        <v>0.060516982145254444</v>
      </c>
      <c r="U15" s="109">
        <f>'[1]RZiS'!T30/'[1]RZiS'!T6</f>
        <v>0.05951206213261693</v>
      </c>
      <c r="V15" s="109">
        <f>'[1]RZiS'!U30/'[1]RZiS'!U6</f>
        <v>0.06056905975718707</v>
      </c>
      <c r="W15" s="109">
        <f>'[1]RZiS'!V30/'[1]RZiS'!V6</f>
        <v>0.060955956734884534</v>
      </c>
      <c r="X15" s="109">
        <f>'[1]RZiS'!W30/'[1]RZiS'!W6</f>
        <v>0.0636804324935152</v>
      </c>
    </row>
    <row r="16" spans="1:24" ht="36" customHeight="1">
      <c r="A16" s="102" t="s">
        <v>227</v>
      </c>
      <c r="B16" s="102"/>
      <c r="C16" s="109">
        <f>'[1]RZiS'!B30/'[1]BILANS'!B22</f>
        <v>-0.7003090492389759</v>
      </c>
      <c r="D16" s="109">
        <f>'[1]RZiS'!C30/'[1]BILANS'!C22</f>
        <v>0.25687505670254623</v>
      </c>
      <c r="E16" s="109">
        <f>'[1]RZiS'!D30/'[1]BILANS'!D22</f>
        <v>0.24946429429196862</v>
      </c>
      <c r="F16" s="109">
        <f>'[1]RZiS'!E30/'[1]BILANS'!E22</f>
        <v>0.26125263950966693</v>
      </c>
      <c r="G16" s="109">
        <f>'[1]RZiS'!F30/'[1]BILANS'!F22</f>
        <v>0.2275743008835822</v>
      </c>
      <c r="H16" s="109">
        <f>'[1]RZiS'!G30/'[1]BILANS'!G22</f>
        <v>0.17534444819895686</v>
      </c>
      <c r="I16" s="109">
        <f>'[1]RZiS'!H30/'[1]BILANS'!H22</f>
        <v>0.12726467631853944</v>
      </c>
      <c r="J16" s="109">
        <f>'[1]RZiS'!I30/'[1]BILANS'!I22</f>
        <v>0.10735882069559968</v>
      </c>
      <c r="K16" s="109">
        <f>'[1]RZiS'!J30/'[1]BILANS'!J22</f>
        <v>0.09862627650130992</v>
      </c>
      <c r="L16" s="109">
        <f>'[1]RZiS'!K30/'[1]BILANS'!K22</f>
        <v>0.0898443209929332</v>
      </c>
      <c r="M16" s="109">
        <f>'[1]RZiS'!L30/'[1]BILANS'!L22</f>
        <v>0.08559725955565245</v>
      </c>
      <c r="N16" s="109">
        <f>'[1]RZiS'!M30/'[1]BILANS'!M22</f>
        <v>0.0801242487257373</v>
      </c>
      <c r="O16" s="109">
        <f>'[1]RZiS'!N30/'[1]BILANS'!N22</f>
        <v>0.07611970817497501</v>
      </c>
      <c r="P16" s="109">
        <f>'[1]RZiS'!O30/'[1]BILANS'!O22</f>
        <v>0.07134349813041208</v>
      </c>
      <c r="Q16" s="109">
        <f>'[1]RZiS'!P30/'[1]BILANS'!P22</f>
        <v>0.06553741469014046</v>
      </c>
      <c r="R16" s="109">
        <f>'[1]RZiS'!Q30/'[1]BILANS'!Q22</f>
        <v>0.06138412099340544</v>
      </c>
      <c r="S16" s="109">
        <f>'[1]RZiS'!R30/'[1]BILANS'!R22</f>
        <v>0.059654286982686495</v>
      </c>
      <c r="T16" s="109">
        <f>'[1]RZiS'!S30/'[1]BILANS'!S22</f>
        <v>0.05808129158710075</v>
      </c>
      <c r="U16" s="109">
        <f>'[1]RZiS'!T30/'[1]BILANS'!T22</f>
        <v>0.054513557148842345</v>
      </c>
      <c r="V16" s="109">
        <f>'[1]RZiS'!U30/'[1]BILANS'!U22</f>
        <v>0.05317032755346549</v>
      </c>
      <c r="W16" s="109">
        <f>'[1]RZiS'!V30/'[1]BILANS'!V22</f>
        <v>0.051423864955442385</v>
      </c>
      <c r="X16" s="109">
        <f>'[1]RZiS'!W30/'[1]BILANS'!W22</f>
        <v>0.051465029117324326</v>
      </c>
    </row>
    <row r="17" spans="1:24" ht="24" customHeight="1">
      <c r="A17" s="110" t="s">
        <v>228</v>
      </c>
      <c r="B17" s="110"/>
      <c r="C17" s="109">
        <f>('[1]BILANS'!B29/'[1]BILANS'!B22)</f>
        <v>0.40668231836839</v>
      </c>
      <c r="D17" s="109">
        <f>('[1]BILANS'!C29/'[1]BILANS'!C22)</f>
        <v>0</v>
      </c>
      <c r="E17" s="109">
        <f>('[1]BILANS'!D29/'[1]BILANS'!D22)</f>
        <v>1.1579020995674156</v>
      </c>
      <c r="F17" s="109">
        <f>('[1]BILANS'!E29/'[1]BILANS'!E22)</f>
        <v>0.8338332471147024</v>
      </c>
      <c r="G17" s="109">
        <f>('[1]BILANS'!F29/'[1]BILANS'!F22)</f>
        <v>0.6262840516835685</v>
      </c>
      <c r="H17" s="109">
        <f>('[1]BILANS'!G29/'[1]BILANS'!G22)</f>
        <v>0.5008629499524928</v>
      </c>
      <c r="I17" s="109">
        <f>('[1]BILANS'!H29/'[1]BILANS'!H22)</f>
        <v>0.4225597206838911</v>
      </c>
      <c r="J17" s="109">
        <f>('[1]BILANS'!I29/'[1]BILANS'!I22)</f>
        <v>0.36335602285035973</v>
      </c>
      <c r="K17" s="109">
        <f>('[1]BILANS'!J29/'[1]BILANS'!J22)</f>
        <v>0.31418770387940326</v>
      </c>
      <c r="L17" s="109">
        <f>('[1]BILANS'!K29/'[1]BILANS'!K22)</f>
        <v>0.27304428726208874</v>
      </c>
      <c r="M17" s="109">
        <f>('[1]BILANS'!L29/'[1]BILANS'!L22)</f>
        <v>0.23706399991281824</v>
      </c>
      <c r="N17" s="109">
        <f>('[1]BILANS'!M29/'[1]BILANS'!M22)</f>
        <v>0.2056980090525822</v>
      </c>
      <c r="O17" s="109">
        <f>('[1]BILANS'!N29/'[1]BILANS'!N22)</f>
        <v>0.17782483685381684</v>
      </c>
      <c r="P17" s="109">
        <f>('[1]BILANS'!O29/'[1]BILANS'!O22)</f>
        <v>0.15303128684003992</v>
      </c>
      <c r="Q17" s="109">
        <f>('[1]BILANS'!P29/'[1]BILANS'!P22)</f>
        <v>0.13091366926965245</v>
      </c>
      <c r="R17" s="109">
        <f>('[1]BILANS'!Q29/'[1]BILANS'!Q22)</f>
        <v>0.11083310389539083</v>
      </c>
      <c r="S17" s="109">
        <f>('[1]BILANS'!R29/'[1]BILANS'!R22)</f>
        <v>0.0915275192249794</v>
      </c>
      <c r="T17" s="109">
        <f>('[1]BILANS'!S29/'[1]BILANS'!S22)</f>
        <v>0.07402292927399476</v>
      </c>
      <c r="U17" s="109">
        <f>('[1]BILANS'!T29/'[1]BILANS'!T22)</f>
        <v>0.05768392013156841</v>
      </c>
      <c r="V17" s="109">
        <f>('[1]BILANS'!U29/'[1]BILANS'!U22)</f>
        <v>0.04218295908665477</v>
      </c>
      <c r="W17" s="109">
        <f>('[1]BILANS'!V29/'[1]BILANS'!V22)</f>
        <v>0.027431500648050333</v>
      </c>
      <c r="X17" s="109">
        <f>('[1]BILANS'!W29/'[1]BILANS'!W22)</f>
        <v>0.013296307636940405</v>
      </c>
    </row>
    <row r="18" spans="1:24" ht="29.25" customHeight="1">
      <c r="A18" s="110" t="s">
        <v>229</v>
      </c>
      <c r="B18" s="110"/>
      <c r="C18" s="109">
        <f>'[1]RZiS'!B30/'[1]BILANS'!B19</f>
        <v>-0.11087492344524</v>
      </c>
      <c r="D18" s="109">
        <f>'[1]RZiS'!C30/'[1]BILANS'!C19</f>
        <v>0.04925237963019743</v>
      </c>
      <c r="E18" s="109">
        <f>'[1]RZiS'!D30/'[1]BILANS'!D19</f>
        <v>0.03058274205908599</v>
      </c>
      <c r="F18" s="109">
        <f>'[1]RZiS'!E30/'[1]BILANS'!E19</f>
        <v>0.04307914826765723</v>
      </c>
      <c r="G18" s="109">
        <f>'[1]RZiS'!F30/'[1]BILANS'!F19</f>
        <v>0.04783525766803988</v>
      </c>
      <c r="H18" s="109">
        <f>'[1]RZiS'!G30/'[1]BILANS'!G19</f>
        <v>0.0438461135617519</v>
      </c>
      <c r="I18" s="109">
        <f>'[1]RZiS'!H30/'[1]BILANS'!H19</f>
        <v>0.036055964542942305</v>
      </c>
      <c r="J18" s="109">
        <f>'[1]RZiS'!I30/'[1]BILANS'!I19</f>
        <v>0.033772244164275066</v>
      </c>
      <c r="K18" s="109">
        <f>'[1]RZiS'!J30/'[1]BILANS'!J19</f>
        <v>0.03410517539938177</v>
      </c>
      <c r="L18" s="109">
        <f>'[1]RZiS'!K30/'[1]BILANS'!K19</f>
        <v>0.03383453514001518</v>
      </c>
      <c r="M18" s="109">
        <f>'[1]RZiS'!L30/'[1]BILANS'!L19</f>
        <v>0.03490684831204555</v>
      </c>
      <c r="N18" s="109">
        <f>'[1]RZiS'!M30/'[1]BILANS'!M19</f>
        <v>0.03516619938654515</v>
      </c>
      <c r="O18" s="109">
        <f>'[1]RZiS'!N30/'[1]BILANS'!N19</f>
        <v>0.03578119643431806</v>
      </c>
      <c r="P18" s="109">
        <f>'[1]RZiS'!O30/'[1]BILANS'!O19</f>
        <v>0.0357385232212825</v>
      </c>
      <c r="Q18" s="109">
        <f>'[1]RZiS'!P30/'[1]BILANS'!P19</f>
        <v>0.0348067780888987</v>
      </c>
      <c r="R18" s="109">
        <f>'[1]RZiS'!Q30/'[1]BILANS'!Q19</f>
        <v>0.03442960178314489</v>
      </c>
      <c r="S18" s="109">
        <f>'[1]RZiS'!R30/'[1]BILANS'!R19</f>
        <v>0.035261733674630674</v>
      </c>
      <c r="T18" s="109">
        <f>'[1]RZiS'!S30/'[1]BILANS'!S19</f>
        <v>0.036086222812634426</v>
      </c>
      <c r="U18" s="109">
        <f>'[1]RZiS'!T30/'[1]BILANS'!T19</f>
        <v>0.035496355871833814</v>
      </c>
      <c r="V18" s="109">
        <f>'[1]RZiS'!U30/'[1]BILANS'!U19</f>
        <v>0.03621678155600006</v>
      </c>
      <c r="W18" s="109">
        <f>'[1]RZiS'!V30/'[1]BILANS'!V19</f>
        <v>0.036571254132852095</v>
      </c>
      <c r="X18" s="109">
        <f>'[1]RZiS'!W30/'[1]BILANS'!W19</f>
        <v>0.038164955366476405</v>
      </c>
    </row>
    <row r="19" ht="12.75">
      <c r="A19" s="111"/>
    </row>
    <row r="22" ht="12.75">
      <c r="A22" s="112"/>
    </row>
    <row r="23" ht="12.75">
      <c r="A23" s="113"/>
    </row>
    <row r="24" ht="12.75">
      <c r="A24" s="114"/>
    </row>
  </sheetData>
  <sheetProtection selectLockedCells="1" selectUnlockedCells="1"/>
  <mergeCells count="40">
    <mergeCell ref="A1:X1"/>
    <mergeCell ref="D2:E2"/>
    <mergeCell ref="F2:X2"/>
    <mergeCell ref="A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</mergeCells>
  <printOptions horizontalCentered="1" verticalCentered="1"/>
  <pageMargins left="0.7083333333333334" right="0.7083333333333334" top="0.6805555555555556" bottom="0.7486111111111111" header="0.31527777777777777" footer="0.31527777777777777"/>
  <pageSetup fitToHeight="1" fitToWidth="1" horizontalDpi="300" verticalDpi="300" orientation="landscape" paperSize="9"/>
  <headerFooter alignWithMargins="0">
    <oddHeader>&amp;R&amp;"Czcionka tekstu podstawowego,Regularna"&amp;11Zespół Opieki Zdrowotnej w Brodnicy</oddHeader>
    <oddFooter>&amp;C&amp;"Czcionka tekstu podstawowego,Regularna"&amp;11Lech Consulting Sp. z o.o.
www.LC.net.pl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242"/>
  <sheetViews>
    <sheetView showGridLines="0" view="pageBreakPreview" zoomScale="90" zoomScaleSheetLayoutView="90" workbookViewId="0" topLeftCell="A1">
      <selection activeCell="H86" activeCellId="1" sqref="L37:N37 H86"/>
    </sheetView>
  </sheetViews>
  <sheetFormatPr defaultColWidth="9.140625" defaultRowHeight="12.75"/>
  <cols>
    <col min="1" max="1" width="10.00390625" style="115" customWidth="1"/>
    <col min="2" max="4" width="9.421875" style="0" customWidth="1"/>
    <col min="5" max="5" width="10.00390625" style="115" customWidth="1"/>
    <col min="6" max="16384" width="9.421875" style="0" customWidth="1"/>
  </cols>
  <sheetData>
    <row r="1" spans="1:17" ht="12.75">
      <c r="A1" s="116" t="s">
        <v>230</v>
      </c>
      <c r="B1" s="117" t="s">
        <v>231</v>
      </c>
      <c r="C1" s="117" t="s">
        <v>232</v>
      </c>
      <c r="D1" s="117" t="s">
        <v>233</v>
      </c>
      <c r="E1" s="116" t="s">
        <v>234</v>
      </c>
      <c r="F1" s="117" t="s">
        <v>231</v>
      </c>
      <c r="G1" s="117" t="s">
        <v>232</v>
      </c>
      <c r="H1" s="117" t="s">
        <v>233</v>
      </c>
      <c r="I1" s="118"/>
      <c r="J1" s="116" t="s">
        <v>230</v>
      </c>
      <c r="K1" s="117" t="s">
        <v>231</v>
      </c>
      <c r="L1" s="117" t="s">
        <v>232</v>
      </c>
      <c r="M1" s="117" t="s">
        <v>233</v>
      </c>
      <c r="N1" s="116" t="s">
        <v>234</v>
      </c>
      <c r="O1" s="117" t="s">
        <v>231</v>
      </c>
      <c r="P1" s="117" t="s">
        <v>232</v>
      </c>
      <c r="Q1" s="117" t="s">
        <v>233</v>
      </c>
    </row>
    <row r="2" spans="1:17" ht="12.75">
      <c r="A2" s="119">
        <v>1</v>
      </c>
      <c r="B2" s="120">
        <v>15.44</v>
      </c>
      <c r="C2" s="120">
        <v>41.04</v>
      </c>
      <c r="D2" s="120">
        <v>56.48</v>
      </c>
      <c r="E2" s="121">
        <v>2016</v>
      </c>
      <c r="F2" s="122">
        <f>SUM(B2:B13)</f>
        <v>191.01</v>
      </c>
      <c r="G2" s="122">
        <f>SUM(C2:C13)</f>
        <v>486.84999999999997</v>
      </c>
      <c r="H2" s="122">
        <f>SUM(D2:D13)</f>
        <v>677.86</v>
      </c>
      <c r="I2" s="118"/>
      <c r="J2" s="119">
        <v>121</v>
      </c>
      <c r="K2" s="120">
        <v>29.54</v>
      </c>
      <c r="L2" s="120">
        <v>26.95</v>
      </c>
      <c r="M2" s="120">
        <v>56.49</v>
      </c>
      <c r="N2" s="121">
        <v>2026</v>
      </c>
      <c r="O2" s="122">
        <f aca="true" t="shared" si="0" ref="O2:Q2">SUM(K2:K13)</f>
        <v>365.24000000000007</v>
      </c>
      <c r="P2" s="122">
        <f t="shared" si="0"/>
        <v>312.62999999999994</v>
      </c>
      <c r="Q2" s="122">
        <f t="shared" si="0"/>
        <v>677.87</v>
      </c>
    </row>
    <row r="3" spans="1:17" ht="12.75">
      <c r="A3" s="119">
        <v>2</v>
      </c>
      <c r="B3" s="120">
        <v>15.53</v>
      </c>
      <c r="C3" s="120">
        <v>40.96</v>
      </c>
      <c r="D3" s="120">
        <v>56.49</v>
      </c>
      <c r="E3" s="121"/>
      <c r="F3" s="122"/>
      <c r="G3" s="122"/>
      <c r="H3" s="122"/>
      <c r="I3" s="118"/>
      <c r="J3" s="119">
        <v>122</v>
      </c>
      <c r="K3" s="120">
        <v>29.69</v>
      </c>
      <c r="L3" s="120">
        <v>26.79</v>
      </c>
      <c r="M3" s="120">
        <v>56.48</v>
      </c>
      <c r="N3" s="121"/>
      <c r="O3" s="122"/>
      <c r="P3" s="122"/>
      <c r="Q3" s="122"/>
    </row>
    <row r="4" spans="1:17" ht="12.75">
      <c r="A4" s="119">
        <v>3</v>
      </c>
      <c r="B4" s="120">
        <v>15.62</v>
      </c>
      <c r="C4" s="120">
        <v>40.87</v>
      </c>
      <c r="D4" s="120">
        <v>56.49</v>
      </c>
      <c r="E4" s="121"/>
      <c r="F4" s="122"/>
      <c r="G4" s="122"/>
      <c r="H4" s="122"/>
      <c r="I4" s="118"/>
      <c r="J4" s="119">
        <v>123</v>
      </c>
      <c r="K4" s="120">
        <v>29.86</v>
      </c>
      <c r="L4" s="120">
        <v>26.63</v>
      </c>
      <c r="M4" s="120">
        <v>56.49</v>
      </c>
      <c r="N4" s="121"/>
      <c r="O4" s="122"/>
      <c r="P4" s="122"/>
      <c r="Q4" s="122"/>
    </row>
    <row r="5" spans="1:17" ht="12.75">
      <c r="A5" s="119">
        <v>4</v>
      </c>
      <c r="B5" s="120">
        <v>15.7</v>
      </c>
      <c r="C5" s="120">
        <v>40.79</v>
      </c>
      <c r="D5" s="120">
        <v>56.49</v>
      </c>
      <c r="E5" s="121"/>
      <c r="F5" s="122"/>
      <c r="G5" s="122"/>
      <c r="H5" s="122"/>
      <c r="I5" s="118"/>
      <c r="J5" s="119">
        <v>124</v>
      </c>
      <c r="K5" s="120">
        <v>30.02</v>
      </c>
      <c r="L5" s="120">
        <v>26.47</v>
      </c>
      <c r="M5" s="120">
        <v>56.49</v>
      </c>
      <c r="N5" s="121"/>
      <c r="O5" s="122"/>
      <c r="P5" s="122"/>
      <c r="Q5" s="122"/>
    </row>
    <row r="6" spans="1:17" ht="12.75">
      <c r="A6" s="119">
        <v>5</v>
      </c>
      <c r="B6" s="120">
        <v>15.79</v>
      </c>
      <c r="C6" s="120">
        <v>40.7</v>
      </c>
      <c r="D6" s="120">
        <v>56.49</v>
      </c>
      <c r="E6" s="121"/>
      <c r="F6" s="122"/>
      <c r="G6" s="122"/>
      <c r="H6" s="122"/>
      <c r="I6" s="118"/>
      <c r="J6" s="119">
        <v>125</v>
      </c>
      <c r="K6" s="120">
        <v>30.19</v>
      </c>
      <c r="L6" s="120">
        <v>26.3</v>
      </c>
      <c r="M6" s="120">
        <v>56.49</v>
      </c>
      <c r="N6" s="121"/>
      <c r="O6" s="122"/>
      <c r="P6" s="122"/>
      <c r="Q6" s="122"/>
    </row>
    <row r="7" spans="1:17" ht="12.75">
      <c r="A7" s="119">
        <v>6</v>
      </c>
      <c r="B7" s="120">
        <v>15.87</v>
      </c>
      <c r="C7" s="120">
        <v>40.62</v>
      </c>
      <c r="D7" s="120">
        <v>56.49</v>
      </c>
      <c r="E7" s="121"/>
      <c r="F7" s="122"/>
      <c r="G7" s="122"/>
      <c r="H7" s="122"/>
      <c r="I7" s="118"/>
      <c r="J7" s="119">
        <v>126</v>
      </c>
      <c r="K7" s="120">
        <v>30.35</v>
      </c>
      <c r="L7" s="120">
        <v>26.14</v>
      </c>
      <c r="M7" s="120">
        <v>56.49</v>
      </c>
      <c r="N7" s="121"/>
      <c r="O7" s="122"/>
      <c r="P7" s="122"/>
      <c r="Q7" s="122"/>
    </row>
    <row r="8" spans="1:17" ht="12.75">
      <c r="A8" s="119">
        <v>7</v>
      </c>
      <c r="B8" s="120">
        <v>15.96</v>
      </c>
      <c r="C8" s="120">
        <v>40.53</v>
      </c>
      <c r="D8" s="120">
        <v>56.49</v>
      </c>
      <c r="E8" s="121"/>
      <c r="F8" s="122"/>
      <c r="G8" s="122"/>
      <c r="H8" s="122"/>
      <c r="I8" s="118"/>
      <c r="J8" s="119">
        <v>127</v>
      </c>
      <c r="K8" s="120">
        <v>30.52</v>
      </c>
      <c r="L8" s="120">
        <v>25.97</v>
      </c>
      <c r="M8" s="120">
        <v>56.49</v>
      </c>
      <c r="N8" s="121"/>
      <c r="O8" s="122"/>
      <c r="P8" s="122"/>
      <c r="Q8" s="122"/>
    </row>
    <row r="9" spans="1:17" ht="12.75">
      <c r="A9" s="119">
        <v>8</v>
      </c>
      <c r="B9" s="120">
        <v>16.05</v>
      </c>
      <c r="C9" s="120">
        <v>40.44</v>
      </c>
      <c r="D9" s="120">
        <v>56.49</v>
      </c>
      <c r="E9" s="121"/>
      <c r="F9" s="122"/>
      <c r="G9" s="122"/>
      <c r="H9" s="122"/>
      <c r="I9" s="118"/>
      <c r="J9" s="119">
        <v>128</v>
      </c>
      <c r="K9" s="120">
        <v>30.68</v>
      </c>
      <c r="L9" s="120">
        <v>25.81</v>
      </c>
      <c r="M9" s="120">
        <v>56.49</v>
      </c>
      <c r="N9" s="121"/>
      <c r="O9" s="122"/>
      <c r="P9" s="122"/>
      <c r="Q9" s="122"/>
    </row>
    <row r="10" spans="1:17" ht="12.75">
      <c r="A10" s="119">
        <v>9</v>
      </c>
      <c r="B10" s="120">
        <v>16.13</v>
      </c>
      <c r="C10" s="120">
        <v>40.36</v>
      </c>
      <c r="D10" s="120">
        <v>56.49</v>
      </c>
      <c r="E10" s="121"/>
      <c r="F10" s="122"/>
      <c r="G10" s="122"/>
      <c r="H10" s="122"/>
      <c r="I10" s="118"/>
      <c r="J10" s="119">
        <v>129</v>
      </c>
      <c r="K10" s="120">
        <v>30.85</v>
      </c>
      <c r="L10" s="120">
        <v>25.64</v>
      </c>
      <c r="M10" s="120">
        <v>56.49</v>
      </c>
      <c r="N10" s="121"/>
      <c r="O10" s="122"/>
      <c r="P10" s="122"/>
      <c r="Q10" s="122"/>
    </row>
    <row r="11" spans="1:17" ht="12.75">
      <c r="A11" s="119">
        <v>10</v>
      </c>
      <c r="B11" s="120">
        <v>16.22</v>
      </c>
      <c r="C11" s="120">
        <v>40.27</v>
      </c>
      <c r="D11" s="120">
        <v>56.49</v>
      </c>
      <c r="E11" s="121"/>
      <c r="F11" s="122"/>
      <c r="G11" s="122"/>
      <c r="H11" s="122"/>
      <c r="I11" s="118"/>
      <c r="J11" s="119">
        <v>130</v>
      </c>
      <c r="K11" s="120">
        <v>31.01</v>
      </c>
      <c r="L11" s="120">
        <v>25.48</v>
      </c>
      <c r="M11" s="120">
        <v>56.49</v>
      </c>
      <c r="N11" s="121"/>
      <c r="O11" s="122"/>
      <c r="P11" s="122"/>
      <c r="Q11" s="122"/>
    </row>
    <row r="12" spans="1:17" ht="12.75">
      <c r="A12" s="119">
        <v>11</v>
      </c>
      <c r="B12" s="120">
        <v>16.31</v>
      </c>
      <c r="C12" s="120">
        <v>40.18</v>
      </c>
      <c r="D12" s="120">
        <v>56.49</v>
      </c>
      <c r="E12" s="121"/>
      <c r="F12" s="122"/>
      <c r="G12" s="122"/>
      <c r="H12" s="122"/>
      <c r="I12" s="118"/>
      <c r="J12" s="119">
        <v>131</v>
      </c>
      <c r="K12" s="120">
        <v>31.18</v>
      </c>
      <c r="L12" s="120">
        <v>25.31</v>
      </c>
      <c r="M12" s="120">
        <v>56.49</v>
      </c>
      <c r="N12" s="121"/>
      <c r="O12" s="122"/>
      <c r="P12" s="122"/>
      <c r="Q12" s="122"/>
    </row>
    <row r="13" spans="1:17" ht="12.75">
      <c r="A13" s="119">
        <v>12</v>
      </c>
      <c r="B13" s="120">
        <v>16.39</v>
      </c>
      <c r="C13" s="120">
        <v>40.09</v>
      </c>
      <c r="D13" s="120">
        <v>56.48</v>
      </c>
      <c r="E13" s="121"/>
      <c r="F13" s="122"/>
      <c r="G13" s="122"/>
      <c r="H13" s="122"/>
      <c r="I13" s="118"/>
      <c r="J13" s="119">
        <v>132</v>
      </c>
      <c r="K13" s="120">
        <v>31.35</v>
      </c>
      <c r="L13" s="120">
        <v>25.14</v>
      </c>
      <c r="M13" s="120">
        <v>56.49</v>
      </c>
      <c r="N13" s="121"/>
      <c r="O13" s="122"/>
      <c r="P13" s="122"/>
      <c r="Q13" s="122"/>
    </row>
    <row r="14" spans="1:17" ht="12.75">
      <c r="A14" s="119">
        <v>13</v>
      </c>
      <c r="B14" s="120">
        <v>16.48</v>
      </c>
      <c r="C14" s="120">
        <v>40.01</v>
      </c>
      <c r="D14" s="120">
        <v>56.49</v>
      </c>
      <c r="E14" s="121">
        <v>2017</v>
      </c>
      <c r="F14" s="122">
        <f>SUM(B14:B25)</f>
        <v>203.79</v>
      </c>
      <c r="G14" s="122">
        <f aca="true" t="shared" si="1" ref="G14:H14">SUM(C14:C25)</f>
        <v>474.0799999999999</v>
      </c>
      <c r="H14" s="122">
        <f t="shared" si="1"/>
        <v>677.87</v>
      </c>
      <c r="I14" s="118"/>
      <c r="J14" s="119">
        <v>133</v>
      </c>
      <c r="K14" s="120">
        <v>31.51</v>
      </c>
      <c r="L14" s="120">
        <v>24.97</v>
      </c>
      <c r="M14" s="120">
        <v>56.48</v>
      </c>
      <c r="N14" s="121">
        <v>2027</v>
      </c>
      <c r="O14" s="122">
        <f aca="true" t="shared" si="2" ref="O14:Q14">SUM(K14:K25)</f>
        <v>389.7</v>
      </c>
      <c r="P14" s="122">
        <f t="shared" si="2"/>
        <v>288.15999999999997</v>
      </c>
      <c r="Q14" s="122">
        <f t="shared" si="2"/>
        <v>677.86</v>
      </c>
    </row>
    <row r="15" spans="1:17" ht="12.75">
      <c r="A15" s="119">
        <v>14</v>
      </c>
      <c r="B15" s="120">
        <v>16.57</v>
      </c>
      <c r="C15" s="120">
        <v>39.92</v>
      </c>
      <c r="D15" s="120">
        <v>56.49</v>
      </c>
      <c r="E15" s="121"/>
      <c r="F15" s="122"/>
      <c r="G15" s="122"/>
      <c r="H15" s="122"/>
      <c r="I15" s="118"/>
      <c r="J15" s="119">
        <v>134</v>
      </c>
      <c r="K15" s="120">
        <v>31.69</v>
      </c>
      <c r="L15" s="120">
        <v>24.8</v>
      </c>
      <c r="M15" s="120">
        <v>56.49</v>
      </c>
      <c r="N15" s="121"/>
      <c r="O15" s="122"/>
      <c r="P15" s="122"/>
      <c r="Q15" s="122"/>
    </row>
    <row r="16" spans="1:17" ht="12.75">
      <c r="A16" s="119">
        <v>15</v>
      </c>
      <c r="B16" s="120">
        <v>16.66</v>
      </c>
      <c r="C16" s="120">
        <v>39.83</v>
      </c>
      <c r="D16" s="120">
        <v>56.49</v>
      </c>
      <c r="E16" s="121"/>
      <c r="F16" s="122"/>
      <c r="G16" s="122"/>
      <c r="H16" s="122"/>
      <c r="I16" s="118"/>
      <c r="J16" s="119">
        <v>135</v>
      </c>
      <c r="K16" s="120">
        <v>31.86</v>
      </c>
      <c r="L16" s="120">
        <v>24.63</v>
      </c>
      <c r="M16" s="120">
        <v>56.49</v>
      </c>
      <c r="N16" s="121"/>
      <c r="O16" s="122"/>
      <c r="P16" s="122"/>
      <c r="Q16" s="122"/>
    </row>
    <row r="17" spans="1:17" ht="12.75">
      <c r="A17" s="119">
        <v>16</v>
      </c>
      <c r="B17" s="120">
        <v>16.75</v>
      </c>
      <c r="C17" s="120">
        <v>39.74</v>
      </c>
      <c r="D17" s="120">
        <v>56.49</v>
      </c>
      <c r="E17" s="121"/>
      <c r="F17" s="122"/>
      <c r="G17" s="122"/>
      <c r="H17" s="122"/>
      <c r="I17" s="118"/>
      <c r="J17" s="119">
        <v>136</v>
      </c>
      <c r="K17" s="120">
        <v>32.04</v>
      </c>
      <c r="L17" s="120">
        <v>24.45</v>
      </c>
      <c r="M17" s="120">
        <v>56.49</v>
      </c>
      <c r="N17" s="121"/>
      <c r="O17" s="122"/>
      <c r="P17" s="122"/>
      <c r="Q17" s="122"/>
    </row>
    <row r="18" spans="1:17" ht="12.75">
      <c r="A18" s="119">
        <v>17</v>
      </c>
      <c r="B18" s="120">
        <v>16.84</v>
      </c>
      <c r="C18" s="120">
        <v>39.65</v>
      </c>
      <c r="D18" s="120">
        <v>56.49</v>
      </c>
      <c r="E18" s="121"/>
      <c r="F18" s="122"/>
      <c r="G18" s="122"/>
      <c r="H18" s="122"/>
      <c r="I18" s="118"/>
      <c r="J18" s="119">
        <v>137</v>
      </c>
      <c r="K18" s="120">
        <v>32.21</v>
      </c>
      <c r="L18" s="120">
        <v>24.28</v>
      </c>
      <c r="M18" s="120">
        <v>56.49</v>
      </c>
      <c r="N18" s="121"/>
      <c r="O18" s="122"/>
      <c r="P18" s="122"/>
      <c r="Q18" s="122"/>
    </row>
    <row r="19" spans="1:17" ht="12.75">
      <c r="A19" s="119">
        <v>18</v>
      </c>
      <c r="B19" s="120">
        <v>16.94</v>
      </c>
      <c r="C19" s="120">
        <v>39.55</v>
      </c>
      <c r="D19" s="120">
        <v>56.49</v>
      </c>
      <c r="E19" s="121"/>
      <c r="F19" s="122"/>
      <c r="G19" s="122"/>
      <c r="H19" s="122"/>
      <c r="I19" s="118"/>
      <c r="J19" s="119">
        <v>138</v>
      </c>
      <c r="K19" s="120">
        <v>32.38</v>
      </c>
      <c r="L19" s="120">
        <v>24.11</v>
      </c>
      <c r="M19" s="120">
        <v>56.49</v>
      </c>
      <c r="N19" s="121"/>
      <c r="O19" s="122"/>
      <c r="P19" s="122"/>
      <c r="Q19" s="122"/>
    </row>
    <row r="20" spans="1:17" ht="12.75">
      <c r="A20" s="119">
        <v>19</v>
      </c>
      <c r="B20" s="120">
        <v>17.03</v>
      </c>
      <c r="C20" s="120">
        <v>39.46</v>
      </c>
      <c r="D20" s="120">
        <v>56.49</v>
      </c>
      <c r="E20" s="121"/>
      <c r="F20" s="122"/>
      <c r="G20" s="122"/>
      <c r="H20" s="122"/>
      <c r="I20" s="118"/>
      <c r="J20" s="119">
        <v>139</v>
      </c>
      <c r="K20" s="120">
        <v>32.56</v>
      </c>
      <c r="L20" s="120">
        <v>23.93</v>
      </c>
      <c r="M20" s="120">
        <v>56.49</v>
      </c>
      <c r="N20" s="121"/>
      <c r="O20" s="122"/>
      <c r="P20" s="122"/>
      <c r="Q20" s="122"/>
    </row>
    <row r="21" spans="1:17" ht="12.75">
      <c r="A21" s="119">
        <v>20</v>
      </c>
      <c r="B21" s="120">
        <v>17.12</v>
      </c>
      <c r="C21" s="120">
        <v>39.37</v>
      </c>
      <c r="D21" s="120">
        <v>56.49</v>
      </c>
      <c r="E21" s="121"/>
      <c r="F21" s="122"/>
      <c r="G21" s="122"/>
      <c r="H21" s="122"/>
      <c r="I21" s="118"/>
      <c r="J21" s="119">
        <v>140</v>
      </c>
      <c r="K21" s="120">
        <v>32.74</v>
      </c>
      <c r="L21" s="120">
        <v>23.75</v>
      </c>
      <c r="M21" s="120">
        <v>56.49</v>
      </c>
      <c r="N21" s="121"/>
      <c r="O21" s="122"/>
      <c r="P21" s="122"/>
      <c r="Q21" s="122"/>
    </row>
    <row r="22" spans="1:17" ht="12.75">
      <c r="A22" s="119">
        <v>21</v>
      </c>
      <c r="B22" s="120">
        <v>17.21</v>
      </c>
      <c r="C22" s="120">
        <v>39.28</v>
      </c>
      <c r="D22" s="120">
        <v>56.49</v>
      </c>
      <c r="E22" s="121"/>
      <c r="F22" s="122"/>
      <c r="G22" s="122"/>
      <c r="H22" s="122"/>
      <c r="I22" s="118"/>
      <c r="J22" s="119">
        <v>141</v>
      </c>
      <c r="K22" s="120">
        <v>32.91</v>
      </c>
      <c r="L22" s="120">
        <v>23.58</v>
      </c>
      <c r="M22" s="120">
        <v>56.49</v>
      </c>
      <c r="N22" s="121"/>
      <c r="O22" s="122"/>
      <c r="P22" s="122"/>
      <c r="Q22" s="122"/>
    </row>
    <row r="23" spans="1:17" ht="12.75">
      <c r="A23" s="119">
        <v>22</v>
      </c>
      <c r="B23" s="120">
        <v>17.31</v>
      </c>
      <c r="C23" s="120">
        <v>39.18</v>
      </c>
      <c r="D23" s="120">
        <v>56.49</v>
      </c>
      <c r="E23" s="121"/>
      <c r="F23" s="122"/>
      <c r="G23" s="122"/>
      <c r="H23" s="122"/>
      <c r="I23" s="118"/>
      <c r="J23" s="119">
        <v>142</v>
      </c>
      <c r="K23" s="120">
        <v>33.09</v>
      </c>
      <c r="L23" s="120">
        <v>23.4</v>
      </c>
      <c r="M23" s="120">
        <v>56.49</v>
      </c>
      <c r="N23" s="121"/>
      <c r="O23" s="122"/>
      <c r="P23" s="122"/>
      <c r="Q23" s="122"/>
    </row>
    <row r="24" spans="1:17" ht="12.75">
      <c r="A24" s="119">
        <v>23</v>
      </c>
      <c r="B24" s="120">
        <v>17.39</v>
      </c>
      <c r="C24" s="120">
        <v>39.09</v>
      </c>
      <c r="D24" s="120">
        <v>56.48</v>
      </c>
      <c r="E24" s="121"/>
      <c r="F24" s="122"/>
      <c r="G24" s="122"/>
      <c r="H24" s="122"/>
      <c r="I24" s="118"/>
      <c r="J24" s="119">
        <v>143</v>
      </c>
      <c r="K24" s="120">
        <v>33.27</v>
      </c>
      <c r="L24" s="120">
        <v>23.22</v>
      </c>
      <c r="M24" s="120">
        <v>56.49</v>
      </c>
      <c r="N24" s="121"/>
      <c r="O24" s="122"/>
      <c r="P24" s="122"/>
      <c r="Q24" s="122"/>
    </row>
    <row r="25" spans="1:17" ht="12.75">
      <c r="A25" s="119">
        <v>24</v>
      </c>
      <c r="B25" s="120">
        <v>17.49</v>
      </c>
      <c r="C25" s="120">
        <v>39</v>
      </c>
      <c r="D25" s="120">
        <v>56.49</v>
      </c>
      <c r="E25" s="121"/>
      <c r="F25" s="122"/>
      <c r="G25" s="122"/>
      <c r="H25" s="122"/>
      <c r="I25" s="118"/>
      <c r="J25" s="119">
        <v>144</v>
      </c>
      <c r="K25" s="120">
        <v>33.44</v>
      </c>
      <c r="L25" s="120">
        <v>23.04</v>
      </c>
      <c r="M25" s="120">
        <v>56.48</v>
      </c>
      <c r="N25" s="121"/>
      <c r="O25" s="122"/>
      <c r="P25" s="122"/>
      <c r="Q25" s="122"/>
    </row>
    <row r="26" spans="1:17" ht="12.75">
      <c r="A26" s="119">
        <v>25</v>
      </c>
      <c r="B26" s="120">
        <v>17.59</v>
      </c>
      <c r="C26" s="120">
        <v>38.9</v>
      </c>
      <c r="D26" s="120">
        <v>56.49</v>
      </c>
      <c r="E26" s="121">
        <v>2018</v>
      </c>
      <c r="F26" s="122">
        <f aca="true" t="shared" si="3" ref="F26:H26">SUM(B26:B37)</f>
        <v>217.46</v>
      </c>
      <c r="G26" s="122">
        <f t="shared" si="3"/>
        <v>460.40999999999997</v>
      </c>
      <c r="H26" s="122">
        <f t="shared" si="3"/>
        <v>677.87</v>
      </c>
      <c r="I26" s="118"/>
      <c r="J26" s="119">
        <v>145</v>
      </c>
      <c r="K26" s="120">
        <v>33.63</v>
      </c>
      <c r="L26" s="120">
        <v>22.86</v>
      </c>
      <c r="M26" s="120">
        <v>56.49</v>
      </c>
      <c r="N26" s="121">
        <v>2028</v>
      </c>
      <c r="O26" s="122">
        <f aca="true" t="shared" si="4" ref="O26:Q26">SUM(K26:K37)</f>
        <v>415.82000000000005</v>
      </c>
      <c r="P26" s="122">
        <f t="shared" si="4"/>
        <v>262.05000000000007</v>
      </c>
      <c r="Q26" s="122">
        <f t="shared" si="4"/>
        <v>677.87</v>
      </c>
    </row>
    <row r="27" spans="1:17" ht="12.75">
      <c r="A27" s="119">
        <v>26</v>
      </c>
      <c r="B27" s="120">
        <v>17.68</v>
      </c>
      <c r="C27" s="120">
        <v>38.81</v>
      </c>
      <c r="D27" s="120">
        <v>56.49</v>
      </c>
      <c r="E27" s="121"/>
      <c r="F27" s="122"/>
      <c r="G27" s="122"/>
      <c r="H27" s="122"/>
      <c r="I27" s="118"/>
      <c r="J27" s="119">
        <v>146</v>
      </c>
      <c r="K27" s="120">
        <v>33.81</v>
      </c>
      <c r="L27" s="120">
        <v>22.68</v>
      </c>
      <c r="M27" s="120">
        <v>56.49</v>
      </c>
      <c r="N27" s="121"/>
      <c r="O27" s="122"/>
      <c r="P27" s="122"/>
      <c r="Q27" s="122"/>
    </row>
    <row r="28" spans="1:17" ht="12.75">
      <c r="A28" s="119">
        <v>27</v>
      </c>
      <c r="B28" s="120">
        <v>17.78</v>
      </c>
      <c r="C28" s="120">
        <v>38.71</v>
      </c>
      <c r="D28" s="120">
        <v>56.49</v>
      </c>
      <c r="E28" s="121"/>
      <c r="F28" s="122"/>
      <c r="G28" s="122"/>
      <c r="H28" s="122"/>
      <c r="I28" s="118"/>
      <c r="J28" s="119">
        <v>147</v>
      </c>
      <c r="K28" s="120">
        <v>34</v>
      </c>
      <c r="L28" s="120">
        <v>22.49</v>
      </c>
      <c r="M28" s="120">
        <v>56.49</v>
      </c>
      <c r="N28" s="121"/>
      <c r="O28" s="122"/>
      <c r="P28" s="122"/>
      <c r="Q28" s="122"/>
    </row>
    <row r="29" spans="1:17" ht="12.75">
      <c r="A29" s="119">
        <v>28</v>
      </c>
      <c r="B29" s="120">
        <v>17.88</v>
      </c>
      <c r="C29" s="120">
        <v>38.61</v>
      </c>
      <c r="D29" s="120">
        <v>56.49</v>
      </c>
      <c r="E29" s="121"/>
      <c r="F29" s="122"/>
      <c r="G29" s="122"/>
      <c r="H29" s="122"/>
      <c r="I29" s="118"/>
      <c r="J29" s="119">
        <v>148</v>
      </c>
      <c r="K29" s="120">
        <v>34.18</v>
      </c>
      <c r="L29" s="120">
        <v>22.31</v>
      </c>
      <c r="M29" s="120">
        <v>56.49</v>
      </c>
      <c r="N29" s="121"/>
      <c r="O29" s="122"/>
      <c r="P29" s="122"/>
      <c r="Q29" s="122"/>
    </row>
    <row r="30" spans="1:17" ht="12.75">
      <c r="A30" s="119">
        <v>29</v>
      </c>
      <c r="B30" s="120">
        <v>17.97</v>
      </c>
      <c r="C30" s="120">
        <v>38.52</v>
      </c>
      <c r="D30" s="120">
        <v>56.49</v>
      </c>
      <c r="E30" s="121"/>
      <c r="F30" s="122"/>
      <c r="G30" s="122"/>
      <c r="H30" s="122"/>
      <c r="I30" s="118"/>
      <c r="J30" s="119">
        <v>149</v>
      </c>
      <c r="K30" s="120">
        <v>34.37</v>
      </c>
      <c r="L30" s="120">
        <v>22.12</v>
      </c>
      <c r="M30" s="120">
        <v>56.49</v>
      </c>
      <c r="N30" s="121"/>
      <c r="O30" s="122"/>
      <c r="P30" s="122"/>
      <c r="Q30" s="122"/>
    </row>
    <row r="31" spans="1:17" ht="12.75">
      <c r="A31" s="119">
        <v>30</v>
      </c>
      <c r="B31" s="120">
        <v>18.07</v>
      </c>
      <c r="C31" s="120">
        <v>38.42</v>
      </c>
      <c r="D31" s="120">
        <v>56.49</v>
      </c>
      <c r="E31" s="121"/>
      <c r="F31" s="122"/>
      <c r="G31" s="122"/>
      <c r="H31" s="122"/>
      <c r="I31" s="118"/>
      <c r="J31" s="119">
        <v>150</v>
      </c>
      <c r="K31" s="120">
        <v>34.55</v>
      </c>
      <c r="L31" s="120">
        <v>21.94</v>
      </c>
      <c r="M31" s="120">
        <v>56.49</v>
      </c>
      <c r="N31" s="121"/>
      <c r="O31" s="122"/>
      <c r="P31" s="122"/>
      <c r="Q31" s="122"/>
    </row>
    <row r="32" spans="1:17" ht="12.75">
      <c r="A32" s="119">
        <v>31</v>
      </c>
      <c r="B32" s="120">
        <v>18.17</v>
      </c>
      <c r="C32" s="120">
        <v>38.32</v>
      </c>
      <c r="D32" s="120">
        <v>56.49</v>
      </c>
      <c r="E32" s="121"/>
      <c r="F32" s="122"/>
      <c r="G32" s="122"/>
      <c r="H32" s="122"/>
      <c r="I32" s="118"/>
      <c r="J32" s="119">
        <v>151</v>
      </c>
      <c r="K32" s="120">
        <v>34.74</v>
      </c>
      <c r="L32" s="120">
        <v>21.75</v>
      </c>
      <c r="M32" s="120">
        <v>56.49</v>
      </c>
      <c r="N32" s="121"/>
      <c r="O32" s="122"/>
      <c r="P32" s="122"/>
      <c r="Q32" s="122"/>
    </row>
    <row r="33" spans="1:17" ht="12.75">
      <c r="A33" s="119">
        <v>32</v>
      </c>
      <c r="B33" s="120">
        <v>18.27</v>
      </c>
      <c r="C33" s="120">
        <v>38.22</v>
      </c>
      <c r="D33" s="120">
        <v>56.49</v>
      </c>
      <c r="E33" s="121"/>
      <c r="F33" s="122"/>
      <c r="G33" s="122"/>
      <c r="H33" s="122"/>
      <c r="I33" s="118"/>
      <c r="J33" s="119">
        <v>152</v>
      </c>
      <c r="K33" s="120">
        <v>34.93</v>
      </c>
      <c r="L33" s="120">
        <v>21.56</v>
      </c>
      <c r="M33" s="120">
        <v>56.49</v>
      </c>
      <c r="N33" s="121"/>
      <c r="O33" s="122"/>
      <c r="P33" s="122"/>
      <c r="Q33" s="122"/>
    </row>
    <row r="34" spans="1:17" ht="12.75">
      <c r="A34" s="119">
        <v>33</v>
      </c>
      <c r="B34" s="120">
        <v>18.37</v>
      </c>
      <c r="C34" s="120">
        <v>38.12</v>
      </c>
      <c r="D34" s="120">
        <v>56.49</v>
      </c>
      <c r="E34" s="121"/>
      <c r="F34" s="122"/>
      <c r="G34" s="122"/>
      <c r="H34" s="122"/>
      <c r="I34" s="118"/>
      <c r="J34" s="119">
        <v>153</v>
      </c>
      <c r="K34" s="120">
        <v>35.12</v>
      </c>
      <c r="L34" s="120">
        <v>21.37</v>
      </c>
      <c r="M34" s="120">
        <v>56.49</v>
      </c>
      <c r="N34" s="121"/>
      <c r="O34" s="122"/>
      <c r="P34" s="122"/>
      <c r="Q34" s="122"/>
    </row>
    <row r="35" spans="1:17" ht="12.75">
      <c r="A35" s="119">
        <v>34</v>
      </c>
      <c r="B35" s="120">
        <v>18.45</v>
      </c>
      <c r="C35" s="120">
        <v>38.03</v>
      </c>
      <c r="D35" s="120">
        <v>56.48</v>
      </c>
      <c r="E35" s="121"/>
      <c r="F35" s="122"/>
      <c r="G35" s="122"/>
      <c r="H35" s="122"/>
      <c r="I35" s="118"/>
      <c r="J35" s="119">
        <v>154</v>
      </c>
      <c r="K35" s="120">
        <v>35.31</v>
      </c>
      <c r="L35" s="120">
        <v>21.18</v>
      </c>
      <c r="M35" s="120">
        <v>56.49</v>
      </c>
      <c r="N35" s="121"/>
      <c r="O35" s="122"/>
      <c r="P35" s="122"/>
      <c r="Q35" s="122"/>
    </row>
    <row r="36" spans="1:17" ht="12.75">
      <c r="A36" s="119">
        <v>35</v>
      </c>
      <c r="B36" s="120">
        <v>18.56</v>
      </c>
      <c r="C36" s="120">
        <v>37.93</v>
      </c>
      <c r="D36" s="120">
        <v>56.49</v>
      </c>
      <c r="E36" s="121"/>
      <c r="F36" s="122"/>
      <c r="G36" s="122"/>
      <c r="H36" s="122"/>
      <c r="I36" s="118"/>
      <c r="J36" s="119">
        <v>155</v>
      </c>
      <c r="K36" s="120">
        <v>35.49</v>
      </c>
      <c r="L36" s="120">
        <v>20.99</v>
      </c>
      <c r="M36" s="120">
        <v>56.48</v>
      </c>
      <c r="N36" s="121"/>
      <c r="O36" s="122"/>
      <c r="P36" s="122"/>
      <c r="Q36" s="122"/>
    </row>
    <row r="37" spans="1:17" ht="12.75">
      <c r="A37" s="119">
        <v>36</v>
      </c>
      <c r="B37" s="120">
        <v>18.67</v>
      </c>
      <c r="C37" s="120">
        <v>37.82</v>
      </c>
      <c r="D37" s="120">
        <v>56.49</v>
      </c>
      <c r="E37" s="121"/>
      <c r="F37" s="122"/>
      <c r="G37" s="122"/>
      <c r="H37" s="122"/>
      <c r="I37" s="118"/>
      <c r="J37" s="119">
        <v>156</v>
      </c>
      <c r="K37" s="120">
        <v>35.69</v>
      </c>
      <c r="L37" s="120">
        <v>20.8</v>
      </c>
      <c r="M37" s="120">
        <v>56.49</v>
      </c>
      <c r="N37" s="121"/>
      <c r="O37" s="122"/>
      <c r="P37" s="122"/>
      <c r="Q37" s="122"/>
    </row>
    <row r="38" spans="1:17" ht="12.75">
      <c r="A38" s="119">
        <v>37</v>
      </c>
      <c r="B38" s="120">
        <v>18.77</v>
      </c>
      <c r="C38" s="120">
        <v>37.72</v>
      </c>
      <c r="D38" s="120">
        <v>56.49</v>
      </c>
      <c r="E38" s="121">
        <v>2019</v>
      </c>
      <c r="F38" s="122">
        <f aca="true" t="shared" si="5" ref="F38:H38">SUM(B38:B49)</f>
        <v>232.03</v>
      </c>
      <c r="G38" s="122">
        <f t="shared" si="5"/>
        <v>445.84000000000003</v>
      </c>
      <c r="H38" s="122">
        <f t="shared" si="5"/>
        <v>677.87</v>
      </c>
      <c r="I38" s="118"/>
      <c r="J38" s="119">
        <v>157</v>
      </c>
      <c r="K38" s="120">
        <v>35.88</v>
      </c>
      <c r="L38" s="120">
        <v>20.61</v>
      </c>
      <c r="M38" s="120">
        <v>56.49</v>
      </c>
      <c r="N38" s="121">
        <v>2029</v>
      </c>
      <c r="O38" s="122">
        <f aca="true" t="shared" si="6" ref="O38:Q38">SUM(K38:K49)</f>
        <v>443.6699999999999</v>
      </c>
      <c r="P38" s="122">
        <f t="shared" si="6"/>
        <v>234.2</v>
      </c>
      <c r="Q38" s="122">
        <f t="shared" si="6"/>
        <v>677.87</v>
      </c>
    </row>
    <row r="39" spans="1:17" ht="12.75">
      <c r="A39" s="119">
        <v>38</v>
      </c>
      <c r="B39" s="120">
        <v>18.87</v>
      </c>
      <c r="C39" s="120">
        <v>37.62</v>
      </c>
      <c r="D39" s="120">
        <v>56.49</v>
      </c>
      <c r="E39" s="121"/>
      <c r="F39" s="122"/>
      <c r="G39" s="122"/>
      <c r="H39" s="122"/>
      <c r="I39" s="118"/>
      <c r="J39" s="119">
        <v>158</v>
      </c>
      <c r="K39" s="120">
        <v>36.08</v>
      </c>
      <c r="L39" s="120">
        <v>20.41</v>
      </c>
      <c r="M39" s="120">
        <v>56.49</v>
      </c>
      <c r="N39" s="121"/>
      <c r="O39" s="122"/>
      <c r="P39" s="122"/>
      <c r="Q39" s="122"/>
    </row>
    <row r="40" spans="1:17" ht="12.75">
      <c r="A40" s="119">
        <v>39</v>
      </c>
      <c r="B40" s="120">
        <v>18.97</v>
      </c>
      <c r="C40" s="120">
        <v>37.52</v>
      </c>
      <c r="D40" s="120">
        <v>56.49</v>
      </c>
      <c r="E40" s="121"/>
      <c r="F40" s="122"/>
      <c r="G40" s="122"/>
      <c r="H40" s="122"/>
      <c r="I40" s="118"/>
      <c r="J40" s="119">
        <v>159</v>
      </c>
      <c r="K40" s="120">
        <v>36.27</v>
      </c>
      <c r="L40" s="120">
        <v>20.22</v>
      </c>
      <c r="M40" s="120">
        <v>56.49</v>
      </c>
      <c r="N40" s="121"/>
      <c r="O40" s="122"/>
      <c r="P40" s="122"/>
      <c r="Q40" s="122"/>
    </row>
    <row r="41" spans="1:17" ht="12.75">
      <c r="A41" s="119">
        <v>40</v>
      </c>
      <c r="B41" s="120">
        <v>19.07</v>
      </c>
      <c r="C41" s="120">
        <v>37.42</v>
      </c>
      <c r="D41" s="120">
        <v>56.49</v>
      </c>
      <c r="E41" s="121"/>
      <c r="F41" s="122"/>
      <c r="G41" s="122"/>
      <c r="H41" s="122"/>
      <c r="I41" s="118"/>
      <c r="J41" s="119">
        <v>160</v>
      </c>
      <c r="K41" s="120">
        <v>36.47</v>
      </c>
      <c r="L41" s="120">
        <v>20.02</v>
      </c>
      <c r="M41" s="120">
        <v>56.49</v>
      </c>
      <c r="N41" s="121"/>
      <c r="O41" s="122"/>
      <c r="P41" s="122"/>
      <c r="Q41" s="122"/>
    </row>
    <row r="42" spans="1:17" ht="12.75">
      <c r="A42" s="119">
        <v>41</v>
      </c>
      <c r="B42" s="120">
        <v>19.18</v>
      </c>
      <c r="C42" s="120">
        <v>37.31</v>
      </c>
      <c r="D42" s="120">
        <v>56.49</v>
      </c>
      <c r="E42" s="121"/>
      <c r="F42" s="122"/>
      <c r="G42" s="122"/>
      <c r="H42" s="122"/>
      <c r="I42" s="118"/>
      <c r="J42" s="119">
        <v>161</v>
      </c>
      <c r="K42" s="120">
        <v>36.67</v>
      </c>
      <c r="L42" s="120">
        <v>19.82</v>
      </c>
      <c r="M42" s="120">
        <v>56.49</v>
      </c>
      <c r="N42" s="121"/>
      <c r="O42" s="122"/>
      <c r="P42" s="122"/>
      <c r="Q42" s="122"/>
    </row>
    <row r="43" spans="1:17" ht="12.75">
      <c r="A43" s="119">
        <v>42</v>
      </c>
      <c r="B43" s="120">
        <v>19.28</v>
      </c>
      <c r="C43" s="120">
        <v>37.21</v>
      </c>
      <c r="D43" s="120">
        <v>56.49</v>
      </c>
      <c r="E43" s="121"/>
      <c r="F43" s="122"/>
      <c r="G43" s="122"/>
      <c r="H43" s="122"/>
      <c r="I43" s="118"/>
      <c r="J43" s="119">
        <v>162</v>
      </c>
      <c r="K43" s="120">
        <v>36.87</v>
      </c>
      <c r="L43" s="120">
        <v>19.62</v>
      </c>
      <c r="M43" s="120">
        <v>56.49</v>
      </c>
      <c r="N43" s="121"/>
      <c r="O43" s="122"/>
      <c r="P43" s="122"/>
      <c r="Q43" s="122"/>
    </row>
    <row r="44" spans="1:17" ht="12.75">
      <c r="A44" s="119">
        <v>43</v>
      </c>
      <c r="B44" s="120">
        <v>19.38</v>
      </c>
      <c r="C44" s="120">
        <v>37.11</v>
      </c>
      <c r="D44" s="120">
        <v>56.49</v>
      </c>
      <c r="E44" s="121"/>
      <c r="F44" s="122"/>
      <c r="G44" s="122"/>
      <c r="H44" s="122"/>
      <c r="I44" s="118"/>
      <c r="J44" s="119">
        <v>163</v>
      </c>
      <c r="K44" s="120">
        <v>37.07</v>
      </c>
      <c r="L44" s="120">
        <v>19.42</v>
      </c>
      <c r="M44" s="120">
        <v>56.49</v>
      </c>
      <c r="N44" s="121"/>
      <c r="O44" s="122"/>
      <c r="P44" s="122"/>
      <c r="Q44" s="122"/>
    </row>
    <row r="45" spans="1:17" ht="12.75">
      <c r="A45" s="119">
        <v>44</v>
      </c>
      <c r="B45" s="120">
        <v>19.49</v>
      </c>
      <c r="C45" s="120">
        <v>37</v>
      </c>
      <c r="D45" s="120">
        <v>56.49</v>
      </c>
      <c r="E45" s="121"/>
      <c r="F45" s="122"/>
      <c r="G45" s="122"/>
      <c r="H45" s="122"/>
      <c r="I45" s="118"/>
      <c r="J45" s="119">
        <v>164</v>
      </c>
      <c r="K45" s="120">
        <v>37.27</v>
      </c>
      <c r="L45" s="120">
        <v>19.22</v>
      </c>
      <c r="M45" s="120">
        <v>56.49</v>
      </c>
      <c r="N45" s="121"/>
      <c r="O45" s="122"/>
      <c r="P45" s="122"/>
      <c r="Q45" s="122"/>
    </row>
    <row r="46" spans="1:17" ht="12.75">
      <c r="A46" s="119">
        <v>45</v>
      </c>
      <c r="B46" s="120">
        <v>19.59</v>
      </c>
      <c r="C46" s="120">
        <v>36.89</v>
      </c>
      <c r="D46" s="120">
        <v>56.48</v>
      </c>
      <c r="E46" s="121"/>
      <c r="F46" s="122"/>
      <c r="G46" s="122"/>
      <c r="H46" s="122"/>
      <c r="I46" s="118"/>
      <c r="J46" s="119">
        <v>165</v>
      </c>
      <c r="K46" s="120">
        <v>37.47</v>
      </c>
      <c r="L46" s="120">
        <v>19.02</v>
      </c>
      <c r="M46" s="120">
        <v>56.49</v>
      </c>
      <c r="N46" s="121"/>
      <c r="O46" s="122"/>
      <c r="P46" s="122"/>
      <c r="Q46" s="122"/>
    </row>
    <row r="47" spans="1:17" ht="12.75">
      <c r="A47" s="119">
        <v>46</v>
      </c>
      <c r="B47" s="120">
        <v>19.7</v>
      </c>
      <c r="C47" s="120">
        <v>36.79</v>
      </c>
      <c r="D47" s="120">
        <v>56.49</v>
      </c>
      <c r="E47" s="121"/>
      <c r="F47" s="122"/>
      <c r="G47" s="122"/>
      <c r="H47" s="122"/>
      <c r="I47" s="118"/>
      <c r="J47" s="119">
        <v>166</v>
      </c>
      <c r="K47" s="120">
        <v>37.66</v>
      </c>
      <c r="L47" s="120">
        <v>18.82</v>
      </c>
      <c r="M47" s="120">
        <v>56.48</v>
      </c>
      <c r="N47" s="121"/>
      <c r="O47" s="122"/>
      <c r="P47" s="122"/>
      <c r="Q47" s="122"/>
    </row>
    <row r="48" spans="1:17" ht="12.75">
      <c r="A48" s="119">
        <v>47</v>
      </c>
      <c r="B48" s="120">
        <v>19.81</v>
      </c>
      <c r="C48" s="120">
        <v>36.68</v>
      </c>
      <c r="D48" s="120">
        <v>56.49</v>
      </c>
      <c r="E48" s="121"/>
      <c r="F48" s="122"/>
      <c r="G48" s="122"/>
      <c r="H48" s="122"/>
      <c r="I48" s="118"/>
      <c r="J48" s="119">
        <v>167</v>
      </c>
      <c r="K48" s="120">
        <v>37.88</v>
      </c>
      <c r="L48" s="120">
        <v>18.61</v>
      </c>
      <c r="M48" s="120">
        <v>56.49</v>
      </c>
      <c r="N48" s="121"/>
      <c r="O48" s="122"/>
      <c r="P48" s="122"/>
      <c r="Q48" s="122"/>
    </row>
    <row r="49" spans="1:17" ht="12.75">
      <c r="A49" s="119">
        <v>48</v>
      </c>
      <c r="B49" s="120">
        <v>19.92</v>
      </c>
      <c r="C49" s="120">
        <v>36.57</v>
      </c>
      <c r="D49" s="120">
        <v>56.49</v>
      </c>
      <c r="E49" s="121"/>
      <c r="F49" s="122"/>
      <c r="G49" s="122"/>
      <c r="H49" s="122"/>
      <c r="I49" s="118"/>
      <c r="J49" s="119">
        <v>168</v>
      </c>
      <c r="K49" s="120">
        <v>38.08</v>
      </c>
      <c r="L49" s="120">
        <v>18.41</v>
      </c>
      <c r="M49" s="120">
        <v>56.49</v>
      </c>
      <c r="N49" s="121"/>
      <c r="O49" s="122"/>
      <c r="P49" s="122"/>
      <c r="Q49" s="122"/>
    </row>
    <row r="50" spans="1:17" ht="12.75">
      <c r="A50" s="119">
        <v>49</v>
      </c>
      <c r="B50" s="120">
        <v>20.02</v>
      </c>
      <c r="C50" s="120">
        <v>36.47</v>
      </c>
      <c r="D50" s="120">
        <v>56.49</v>
      </c>
      <c r="E50" s="121">
        <v>2020</v>
      </c>
      <c r="F50" s="122">
        <f aca="true" t="shared" si="7" ref="F50:H50">SUM(B50:B61)</f>
        <v>247.54000000000002</v>
      </c>
      <c r="G50" s="122">
        <f t="shared" si="7"/>
        <v>430.33000000000004</v>
      </c>
      <c r="H50" s="122">
        <f t="shared" si="7"/>
        <v>677.87</v>
      </c>
      <c r="I50" s="118"/>
      <c r="J50" s="119">
        <v>169</v>
      </c>
      <c r="K50" s="120">
        <v>38.29</v>
      </c>
      <c r="L50" s="120">
        <v>18.2</v>
      </c>
      <c r="M50" s="120">
        <v>56.49</v>
      </c>
      <c r="N50" s="121">
        <v>2030</v>
      </c>
      <c r="O50" s="122">
        <f aca="true" t="shared" si="8" ref="O50:Q50">SUM(K50:K61)</f>
        <v>473.36000000000007</v>
      </c>
      <c r="P50" s="122">
        <f t="shared" si="8"/>
        <v>204.51</v>
      </c>
      <c r="Q50" s="122">
        <f t="shared" si="8"/>
        <v>677.87</v>
      </c>
    </row>
    <row r="51" spans="1:17" ht="12.75">
      <c r="A51" s="119">
        <v>50</v>
      </c>
      <c r="B51" s="120">
        <v>20.13</v>
      </c>
      <c r="C51" s="120">
        <v>36.36</v>
      </c>
      <c r="D51" s="120">
        <v>56.49</v>
      </c>
      <c r="E51" s="121"/>
      <c r="F51" s="122"/>
      <c r="G51" s="122"/>
      <c r="H51" s="122"/>
      <c r="I51" s="118"/>
      <c r="J51" s="119">
        <v>170</v>
      </c>
      <c r="K51" s="120">
        <v>38.49</v>
      </c>
      <c r="L51" s="120">
        <v>18</v>
      </c>
      <c r="M51" s="120">
        <v>56.49</v>
      </c>
      <c r="N51" s="121"/>
      <c r="O51" s="122"/>
      <c r="P51" s="122"/>
      <c r="Q51" s="122"/>
    </row>
    <row r="52" spans="1:17" ht="12.75">
      <c r="A52" s="119">
        <v>51</v>
      </c>
      <c r="B52" s="120">
        <v>20.24</v>
      </c>
      <c r="C52" s="120">
        <v>36.25</v>
      </c>
      <c r="D52" s="120">
        <v>56.49</v>
      </c>
      <c r="E52" s="121"/>
      <c r="F52" s="122"/>
      <c r="G52" s="122"/>
      <c r="H52" s="122"/>
      <c r="I52" s="118"/>
      <c r="J52" s="119">
        <v>171</v>
      </c>
      <c r="K52" s="120">
        <v>38.7</v>
      </c>
      <c r="L52" s="120">
        <v>17.79</v>
      </c>
      <c r="M52" s="120">
        <v>56.49</v>
      </c>
      <c r="N52" s="121"/>
      <c r="O52" s="122"/>
      <c r="P52" s="122"/>
      <c r="Q52" s="122"/>
    </row>
    <row r="53" spans="1:17" ht="12.75">
      <c r="A53" s="119">
        <v>52</v>
      </c>
      <c r="B53" s="120">
        <v>20.35</v>
      </c>
      <c r="C53" s="120">
        <v>36.14</v>
      </c>
      <c r="D53" s="120">
        <v>56.49</v>
      </c>
      <c r="E53" s="121"/>
      <c r="F53" s="122"/>
      <c r="G53" s="122"/>
      <c r="H53" s="122"/>
      <c r="I53" s="118"/>
      <c r="J53" s="119">
        <v>172</v>
      </c>
      <c r="K53" s="120">
        <v>38.91</v>
      </c>
      <c r="L53" s="120">
        <v>17.58</v>
      </c>
      <c r="M53" s="120">
        <v>56.49</v>
      </c>
      <c r="N53" s="121"/>
      <c r="O53" s="122"/>
      <c r="P53" s="122"/>
      <c r="Q53" s="122"/>
    </row>
    <row r="54" spans="1:17" ht="12.75">
      <c r="A54" s="119">
        <v>53</v>
      </c>
      <c r="B54" s="120">
        <v>20.46</v>
      </c>
      <c r="C54" s="120">
        <v>36.03</v>
      </c>
      <c r="D54" s="120">
        <v>56.49</v>
      </c>
      <c r="E54" s="121"/>
      <c r="F54" s="122"/>
      <c r="G54" s="122"/>
      <c r="H54" s="122"/>
      <c r="I54" s="118"/>
      <c r="J54" s="119">
        <v>173</v>
      </c>
      <c r="K54" s="120">
        <v>39.12</v>
      </c>
      <c r="L54" s="120">
        <v>17.37</v>
      </c>
      <c r="M54" s="120">
        <v>56.49</v>
      </c>
      <c r="N54" s="121"/>
      <c r="O54" s="122"/>
      <c r="P54" s="122"/>
      <c r="Q54" s="122"/>
    </row>
    <row r="55" spans="1:17" ht="12.75">
      <c r="A55" s="119">
        <v>54</v>
      </c>
      <c r="B55" s="120">
        <v>20.57</v>
      </c>
      <c r="C55" s="120">
        <v>35.92</v>
      </c>
      <c r="D55" s="120">
        <v>56.49</v>
      </c>
      <c r="E55" s="121"/>
      <c r="F55" s="122"/>
      <c r="G55" s="122"/>
      <c r="H55" s="122"/>
      <c r="I55" s="118"/>
      <c r="J55" s="119">
        <v>174</v>
      </c>
      <c r="K55" s="120">
        <v>39.34</v>
      </c>
      <c r="L55" s="120">
        <v>17.15</v>
      </c>
      <c r="M55" s="120">
        <v>56.49</v>
      </c>
      <c r="N55" s="121"/>
      <c r="O55" s="122"/>
      <c r="P55" s="122"/>
      <c r="Q55" s="122"/>
    </row>
    <row r="56" spans="1:17" ht="12.75">
      <c r="A56" s="119">
        <v>55</v>
      </c>
      <c r="B56" s="120">
        <v>20.68</v>
      </c>
      <c r="C56" s="120">
        <v>35.81</v>
      </c>
      <c r="D56" s="120">
        <v>56.49</v>
      </c>
      <c r="E56" s="121"/>
      <c r="F56" s="122"/>
      <c r="G56" s="122"/>
      <c r="H56" s="122"/>
      <c r="I56" s="118"/>
      <c r="J56" s="119">
        <v>175</v>
      </c>
      <c r="K56" s="120">
        <v>39.55</v>
      </c>
      <c r="L56" s="120">
        <v>16.94</v>
      </c>
      <c r="M56" s="120">
        <v>56.49</v>
      </c>
      <c r="N56" s="121"/>
      <c r="O56" s="122"/>
      <c r="P56" s="122"/>
      <c r="Q56" s="122"/>
    </row>
    <row r="57" spans="1:17" ht="12.75">
      <c r="A57" s="119">
        <v>56</v>
      </c>
      <c r="B57" s="120">
        <v>20.78</v>
      </c>
      <c r="C57" s="120">
        <v>35.7</v>
      </c>
      <c r="D57" s="120">
        <v>56.48</v>
      </c>
      <c r="E57" s="121"/>
      <c r="F57" s="122"/>
      <c r="G57" s="122"/>
      <c r="H57" s="122"/>
      <c r="I57" s="118"/>
      <c r="J57" s="119">
        <v>176</v>
      </c>
      <c r="K57" s="120">
        <v>39.76</v>
      </c>
      <c r="L57" s="120">
        <v>16.73</v>
      </c>
      <c r="M57" s="120">
        <v>56.49</v>
      </c>
      <c r="N57" s="121"/>
      <c r="O57" s="122"/>
      <c r="P57" s="122"/>
      <c r="Q57" s="122"/>
    </row>
    <row r="58" spans="1:17" ht="12.75">
      <c r="A58" s="119">
        <v>57</v>
      </c>
      <c r="B58" s="120">
        <v>20.91</v>
      </c>
      <c r="C58" s="120">
        <v>35.58</v>
      </c>
      <c r="D58" s="120">
        <v>56.49</v>
      </c>
      <c r="E58" s="121"/>
      <c r="F58" s="122"/>
      <c r="G58" s="122"/>
      <c r="H58" s="122"/>
      <c r="I58" s="118"/>
      <c r="J58" s="119">
        <v>177</v>
      </c>
      <c r="K58" s="120">
        <v>39.97</v>
      </c>
      <c r="L58" s="120">
        <v>16.51</v>
      </c>
      <c r="M58" s="120">
        <v>56.48</v>
      </c>
      <c r="N58" s="121"/>
      <c r="O58" s="122"/>
      <c r="P58" s="122"/>
      <c r="Q58" s="122"/>
    </row>
    <row r="59" spans="1:17" ht="12.75">
      <c r="A59" s="119">
        <v>58</v>
      </c>
      <c r="B59" s="120">
        <v>21.02</v>
      </c>
      <c r="C59" s="120">
        <v>35.47</v>
      </c>
      <c r="D59" s="120">
        <v>56.49</v>
      </c>
      <c r="E59" s="121"/>
      <c r="F59" s="122"/>
      <c r="G59" s="122"/>
      <c r="H59" s="122"/>
      <c r="I59" s="118"/>
      <c r="J59" s="119">
        <v>178</v>
      </c>
      <c r="K59" s="120">
        <v>40.19</v>
      </c>
      <c r="L59" s="120">
        <v>16.3</v>
      </c>
      <c r="M59" s="120">
        <v>56.49</v>
      </c>
      <c r="N59" s="121"/>
      <c r="O59" s="122"/>
      <c r="P59" s="122"/>
      <c r="Q59" s="122"/>
    </row>
    <row r="60" spans="1:17" ht="12.75">
      <c r="A60" s="119">
        <v>59</v>
      </c>
      <c r="B60" s="120">
        <v>21.13</v>
      </c>
      <c r="C60" s="120">
        <v>35.36</v>
      </c>
      <c r="D60" s="120">
        <v>56.49</v>
      </c>
      <c r="E60" s="121"/>
      <c r="F60" s="122"/>
      <c r="G60" s="122"/>
      <c r="H60" s="122"/>
      <c r="I60" s="118"/>
      <c r="J60" s="119">
        <v>179</v>
      </c>
      <c r="K60" s="120">
        <v>40.41</v>
      </c>
      <c r="L60" s="120">
        <v>16.08</v>
      </c>
      <c r="M60" s="120">
        <v>56.49</v>
      </c>
      <c r="N60" s="121"/>
      <c r="O60" s="122"/>
      <c r="P60" s="122"/>
      <c r="Q60" s="122"/>
    </row>
    <row r="61" spans="1:17" ht="12.75">
      <c r="A61" s="119">
        <v>60</v>
      </c>
      <c r="B61" s="120">
        <v>21.25</v>
      </c>
      <c r="C61" s="120">
        <v>35.24</v>
      </c>
      <c r="D61" s="120">
        <v>56.49</v>
      </c>
      <c r="E61" s="121"/>
      <c r="F61" s="122"/>
      <c r="G61" s="122"/>
      <c r="H61" s="122"/>
      <c r="I61" s="118"/>
      <c r="J61" s="119">
        <v>180</v>
      </c>
      <c r="K61" s="120">
        <v>40.63</v>
      </c>
      <c r="L61" s="120">
        <v>15.86</v>
      </c>
      <c r="M61" s="120">
        <v>56.49</v>
      </c>
      <c r="N61" s="121"/>
      <c r="O61" s="122"/>
      <c r="P61" s="122"/>
      <c r="Q61" s="122"/>
    </row>
    <row r="62" spans="1:17" ht="12.75">
      <c r="A62" s="119">
        <v>61</v>
      </c>
      <c r="B62" s="120">
        <v>21.36</v>
      </c>
      <c r="C62" s="120">
        <v>35.13</v>
      </c>
      <c r="D62" s="120">
        <v>56.49</v>
      </c>
      <c r="E62" s="121">
        <v>2021</v>
      </c>
      <c r="F62" s="122">
        <f aca="true" t="shared" si="9" ref="F62:H62">SUM(B62:B73)</f>
        <v>264.14000000000004</v>
      </c>
      <c r="G62" s="122">
        <f t="shared" si="9"/>
        <v>413.73</v>
      </c>
      <c r="H62" s="122">
        <f t="shared" si="9"/>
        <v>677.87</v>
      </c>
      <c r="I62" s="118"/>
      <c r="J62" s="119">
        <v>181</v>
      </c>
      <c r="K62" s="120">
        <v>40.85</v>
      </c>
      <c r="L62" s="120">
        <v>15.64</v>
      </c>
      <c r="M62" s="120">
        <v>56.49</v>
      </c>
      <c r="N62" s="121">
        <v>2031</v>
      </c>
      <c r="O62" s="122">
        <f aca="true" t="shared" si="10" ref="O62:Q62">SUM(K62:K73)</f>
        <v>505.09000000000003</v>
      </c>
      <c r="P62" s="122">
        <f t="shared" si="10"/>
        <v>172.77999999999997</v>
      </c>
      <c r="Q62" s="122">
        <f t="shared" si="10"/>
        <v>677.87</v>
      </c>
    </row>
    <row r="63" spans="1:17" ht="12.75">
      <c r="A63" s="119">
        <v>62</v>
      </c>
      <c r="B63" s="120">
        <v>21.48</v>
      </c>
      <c r="C63" s="120">
        <v>35.01</v>
      </c>
      <c r="D63" s="120">
        <v>56.49</v>
      </c>
      <c r="E63" s="121"/>
      <c r="F63" s="122"/>
      <c r="G63" s="122"/>
      <c r="H63" s="122"/>
      <c r="I63" s="118"/>
      <c r="J63" s="119">
        <v>182</v>
      </c>
      <c r="K63" s="120">
        <v>41.07</v>
      </c>
      <c r="L63" s="120">
        <v>15.42</v>
      </c>
      <c r="M63" s="120">
        <v>56.49</v>
      </c>
      <c r="N63" s="121"/>
      <c r="O63" s="122"/>
      <c r="P63" s="122"/>
      <c r="Q63" s="122"/>
    </row>
    <row r="64" spans="1:17" ht="12.75">
      <c r="A64" s="119">
        <v>63</v>
      </c>
      <c r="B64" s="120">
        <v>21.6</v>
      </c>
      <c r="C64" s="120">
        <v>34.89</v>
      </c>
      <c r="D64" s="120">
        <v>56.49</v>
      </c>
      <c r="E64" s="121"/>
      <c r="F64" s="122"/>
      <c r="G64" s="122"/>
      <c r="H64" s="122"/>
      <c r="I64" s="118"/>
      <c r="J64" s="119">
        <v>183</v>
      </c>
      <c r="K64" s="120">
        <v>41.3</v>
      </c>
      <c r="L64" s="120">
        <v>15.19</v>
      </c>
      <c r="M64" s="120">
        <v>56.49</v>
      </c>
      <c r="N64" s="121"/>
      <c r="O64" s="122"/>
      <c r="P64" s="122"/>
      <c r="Q64" s="122"/>
    </row>
    <row r="65" spans="1:17" ht="12.75">
      <c r="A65" s="119">
        <v>64</v>
      </c>
      <c r="B65" s="120">
        <v>21.71</v>
      </c>
      <c r="C65" s="120">
        <v>34.78</v>
      </c>
      <c r="D65" s="120">
        <v>56.49</v>
      </c>
      <c r="E65" s="121"/>
      <c r="F65" s="122"/>
      <c r="G65" s="122"/>
      <c r="H65" s="122"/>
      <c r="I65" s="118"/>
      <c r="J65" s="119">
        <v>184</v>
      </c>
      <c r="K65" s="120">
        <v>41.52</v>
      </c>
      <c r="L65" s="120">
        <v>14.97</v>
      </c>
      <c r="M65" s="120">
        <v>56.49</v>
      </c>
      <c r="N65" s="121"/>
      <c r="O65" s="122"/>
      <c r="P65" s="122"/>
      <c r="Q65" s="122"/>
    </row>
    <row r="66" spans="1:17" ht="12.75">
      <c r="A66" s="119">
        <v>65</v>
      </c>
      <c r="B66" s="120">
        <v>21.83</v>
      </c>
      <c r="C66" s="120">
        <v>34.66</v>
      </c>
      <c r="D66" s="120">
        <v>56.49</v>
      </c>
      <c r="E66" s="121"/>
      <c r="F66" s="122"/>
      <c r="G66" s="122"/>
      <c r="H66" s="122"/>
      <c r="I66" s="118"/>
      <c r="J66" s="119">
        <v>185</v>
      </c>
      <c r="K66" s="120">
        <v>41.74</v>
      </c>
      <c r="L66" s="120">
        <v>14.75</v>
      </c>
      <c r="M66" s="120">
        <v>56.49</v>
      </c>
      <c r="N66" s="121"/>
      <c r="O66" s="122"/>
      <c r="P66" s="122"/>
      <c r="Q66" s="122"/>
    </row>
    <row r="67" spans="1:17" ht="12.75">
      <c r="A67" s="119">
        <v>66</v>
      </c>
      <c r="B67" s="120">
        <v>21.95</v>
      </c>
      <c r="C67" s="120">
        <v>34.54</v>
      </c>
      <c r="D67" s="120">
        <v>56.49</v>
      </c>
      <c r="E67" s="121"/>
      <c r="F67" s="122"/>
      <c r="G67" s="122"/>
      <c r="H67" s="122"/>
      <c r="I67" s="118"/>
      <c r="J67" s="119">
        <v>186</v>
      </c>
      <c r="K67" s="120">
        <v>41.97</v>
      </c>
      <c r="L67" s="120">
        <v>14.52</v>
      </c>
      <c r="M67" s="120">
        <v>56.49</v>
      </c>
      <c r="N67" s="121"/>
      <c r="O67" s="122"/>
      <c r="P67" s="122"/>
      <c r="Q67" s="122"/>
    </row>
    <row r="68" spans="1:17" ht="12.75">
      <c r="A68" s="119">
        <v>67</v>
      </c>
      <c r="B68" s="120">
        <v>22.06</v>
      </c>
      <c r="C68" s="120">
        <v>34.42</v>
      </c>
      <c r="D68" s="120">
        <v>56.48</v>
      </c>
      <c r="E68" s="121"/>
      <c r="F68" s="122"/>
      <c r="G68" s="122"/>
      <c r="H68" s="122"/>
      <c r="I68" s="118"/>
      <c r="J68" s="119">
        <v>187</v>
      </c>
      <c r="K68" s="120">
        <v>42.2</v>
      </c>
      <c r="L68" s="120">
        <v>14.29</v>
      </c>
      <c r="M68" s="120">
        <v>56.49</v>
      </c>
      <c r="N68" s="121"/>
      <c r="O68" s="122"/>
      <c r="P68" s="122"/>
      <c r="Q68" s="122"/>
    </row>
    <row r="69" spans="1:17" ht="12.75">
      <c r="A69" s="119">
        <v>68</v>
      </c>
      <c r="B69" s="120">
        <v>22.19</v>
      </c>
      <c r="C69" s="120">
        <v>34.3</v>
      </c>
      <c r="D69" s="120">
        <v>56.49</v>
      </c>
      <c r="E69" s="121"/>
      <c r="F69" s="122"/>
      <c r="G69" s="122"/>
      <c r="H69" s="122"/>
      <c r="I69" s="118"/>
      <c r="J69" s="119">
        <v>188</v>
      </c>
      <c r="K69" s="120">
        <v>42.42</v>
      </c>
      <c r="L69" s="120">
        <v>14.06</v>
      </c>
      <c r="M69" s="120">
        <v>56.48</v>
      </c>
      <c r="N69" s="121"/>
      <c r="O69" s="122"/>
      <c r="P69" s="122"/>
      <c r="Q69" s="122"/>
    </row>
    <row r="70" spans="1:17" ht="12.75">
      <c r="A70" s="119">
        <v>69</v>
      </c>
      <c r="B70" s="120">
        <v>22.31</v>
      </c>
      <c r="C70" s="120">
        <v>34.18</v>
      </c>
      <c r="D70" s="120">
        <v>56.49</v>
      </c>
      <c r="E70" s="121"/>
      <c r="F70" s="122"/>
      <c r="G70" s="122"/>
      <c r="H70" s="122"/>
      <c r="I70" s="118"/>
      <c r="J70" s="119">
        <v>189</v>
      </c>
      <c r="K70" s="120">
        <v>42.66</v>
      </c>
      <c r="L70" s="120">
        <v>13.83</v>
      </c>
      <c r="M70" s="120">
        <v>56.49</v>
      </c>
      <c r="N70" s="121"/>
      <c r="O70" s="122"/>
      <c r="P70" s="122"/>
      <c r="Q70" s="122"/>
    </row>
    <row r="71" spans="1:17" ht="12.75">
      <c r="A71" s="119">
        <v>70</v>
      </c>
      <c r="B71" s="120">
        <v>22.43</v>
      </c>
      <c r="C71" s="120">
        <v>34.06</v>
      </c>
      <c r="D71" s="120">
        <v>56.49</v>
      </c>
      <c r="E71" s="121"/>
      <c r="F71" s="122"/>
      <c r="G71" s="122"/>
      <c r="H71" s="122"/>
      <c r="I71" s="118"/>
      <c r="J71" s="119">
        <v>190</v>
      </c>
      <c r="K71" s="120">
        <v>42.89</v>
      </c>
      <c r="L71" s="120">
        <v>13.6</v>
      </c>
      <c r="M71" s="120">
        <v>56.49</v>
      </c>
      <c r="N71" s="121"/>
      <c r="O71" s="122"/>
      <c r="P71" s="122"/>
      <c r="Q71" s="122"/>
    </row>
    <row r="72" spans="1:17" ht="12.75">
      <c r="A72" s="119">
        <v>71</v>
      </c>
      <c r="B72" s="120">
        <v>22.55</v>
      </c>
      <c r="C72" s="120">
        <v>33.94</v>
      </c>
      <c r="D72" s="120">
        <v>56.49</v>
      </c>
      <c r="E72" s="121"/>
      <c r="F72" s="122"/>
      <c r="G72" s="122"/>
      <c r="H72" s="122"/>
      <c r="I72" s="118"/>
      <c r="J72" s="119">
        <v>191</v>
      </c>
      <c r="K72" s="120">
        <v>43.12</v>
      </c>
      <c r="L72" s="120">
        <v>13.37</v>
      </c>
      <c r="M72" s="120">
        <v>56.49</v>
      </c>
      <c r="N72" s="121"/>
      <c r="O72" s="122"/>
      <c r="P72" s="122"/>
      <c r="Q72" s="122"/>
    </row>
    <row r="73" spans="1:17" ht="12.75">
      <c r="A73" s="119">
        <v>72</v>
      </c>
      <c r="B73" s="120">
        <v>22.67</v>
      </c>
      <c r="C73" s="120">
        <v>33.82</v>
      </c>
      <c r="D73" s="120">
        <v>56.49</v>
      </c>
      <c r="E73" s="121"/>
      <c r="F73" s="122"/>
      <c r="G73" s="122"/>
      <c r="H73" s="122"/>
      <c r="I73" s="118"/>
      <c r="J73" s="119">
        <v>192</v>
      </c>
      <c r="K73" s="120">
        <v>43.35</v>
      </c>
      <c r="L73" s="120">
        <v>13.14</v>
      </c>
      <c r="M73" s="120">
        <v>56.49</v>
      </c>
      <c r="N73" s="121"/>
      <c r="O73" s="122"/>
      <c r="P73" s="122"/>
      <c r="Q73" s="122"/>
    </row>
    <row r="74" spans="1:17" ht="12.75">
      <c r="A74" s="119">
        <v>73</v>
      </c>
      <c r="B74" s="120">
        <v>22.79</v>
      </c>
      <c r="C74" s="120">
        <v>33.7</v>
      </c>
      <c r="D74" s="120">
        <v>56.49</v>
      </c>
      <c r="E74" s="121">
        <v>2022</v>
      </c>
      <c r="F74" s="122">
        <f aca="true" t="shared" si="11" ref="F74:H74">SUM(B74:B85)</f>
        <v>281.82000000000005</v>
      </c>
      <c r="G74" s="122">
        <f t="shared" si="11"/>
        <v>396.05</v>
      </c>
      <c r="H74" s="122">
        <f t="shared" si="11"/>
        <v>677.87</v>
      </c>
      <c r="I74" s="118"/>
      <c r="J74" s="119">
        <v>193</v>
      </c>
      <c r="K74" s="120">
        <v>43.59</v>
      </c>
      <c r="L74" s="120">
        <v>12.9</v>
      </c>
      <c r="M74" s="120">
        <v>56.49</v>
      </c>
      <c r="N74" s="121">
        <v>2032</v>
      </c>
      <c r="O74" s="122">
        <f aca="true" t="shared" si="12" ref="O74:Q74">SUM(K74:K85)</f>
        <v>538.91</v>
      </c>
      <c r="P74" s="122">
        <f t="shared" si="12"/>
        <v>138.96</v>
      </c>
      <c r="Q74" s="122">
        <f t="shared" si="12"/>
        <v>677.87</v>
      </c>
    </row>
    <row r="75" spans="1:17" ht="12.75">
      <c r="A75" s="119">
        <v>74</v>
      </c>
      <c r="B75" s="120">
        <v>22.92</v>
      </c>
      <c r="C75" s="120">
        <v>33.57</v>
      </c>
      <c r="D75" s="120">
        <v>56.49</v>
      </c>
      <c r="E75" s="121"/>
      <c r="F75" s="122"/>
      <c r="G75" s="122"/>
      <c r="H75" s="122"/>
      <c r="I75" s="118"/>
      <c r="J75" s="119">
        <v>194</v>
      </c>
      <c r="K75" s="120">
        <v>43.82</v>
      </c>
      <c r="L75" s="120">
        <v>12.67</v>
      </c>
      <c r="M75" s="120">
        <v>56.49</v>
      </c>
      <c r="N75" s="121"/>
      <c r="O75" s="122"/>
      <c r="P75" s="122"/>
      <c r="Q75" s="122"/>
    </row>
    <row r="76" spans="1:17" ht="12.75">
      <c r="A76" s="119">
        <v>75</v>
      </c>
      <c r="B76" s="120">
        <v>23.04</v>
      </c>
      <c r="C76" s="120">
        <v>33.45</v>
      </c>
      <c r="D76" s="120">
        <v>56.49</v>
      </c>
      <c r="E76" s="121"/>
      <c r="F76" s="122"/>
      <c r="G76" s="122"/>
      <c r="H76" s="122"/>
      <c r="I76" s="118"/>
      <c r="J76" s="119">
        <v>195</v>
      </c>
      <c r="K76" s="120">
        <v>44.06</v>
      </c>
      <c r="L76" s="120">
        <v>12.43</v>
      </c>
      <c r="M76" s="120">
        <v>56.49</v>
      </c>
      <c r="N76" s="121"/>
      <c r="O76" s="122"/>
      <c r="P76" s="122"/>
      <c r="Q76" s="122"/>
    </row>
    <row r="77" spans="1:17" ht="12.75">
      <c r="A77" s="119">
        <v>76</v>
      </c>
      <c r="B77" s="120">
        <v>23.17</v>
      </c>
      <c r="C77" s="120">
        <v>33.32</v>
      </c>
      <c r="D77" s="120">
        <v>56.49</v>
      </c>
      <c r="E77" s="121"/>
      <c r="F77" s="122"/>
      <c r="G77" s="122"/>
      <c r="H77" s="122"/>
      <c r="I77" s="118"/>
      <c r="J77" s="119">
        <v>196</v>
      </c>
      <c r="K77" s="120">
        <v>44.3</v>
      </c>
      <c r="L77" s="120">
        <v>12.19</v>
      </c>
      <c r="M77" s="120">
        <v>56.49</v>
      </c>
      <c r="N77" s="121"/>
      <c r="O77" s="122"/>
      <c r="P77" s="122"/>
      <c r="Q77" s="122"/>
    </row>
    <row r="78" spans="1:17" ht="12.75">
      <c r="A78" s="119">
        <v>77</v>
      </c>
      <c r="B78" s="120">
        <v>23.29</v>
      </c>
      <c r="C78" s="120">
        <v>33.2</v>
      </c>
      <c r="D78" s="120">
        <v>56.49</v>
      </c>
      <c r="E78" s="121"/>
      <c r="F78" s="122"/>
      <c r="G78" s="122"/>
      <c r="H78" s="122"/>
      <c r="I78" s="118"/>
      <c r="J78" s="119">
        <v>197</v>
      </c>
      <c r="K78" s="120">
        <v>44.54</v>
      </c>
      <c r="L78" s="120">
        <v>11.95</v>
      </c>
      <c r="M78" s="120">
        <v>56.49</v>
      </c>
      <c r="N78" s="121"/>
      <c r="O78" s="122"/>
      <c r="P78" s="122"/>
      <c r="Q78" s="122"/>
    </row>
    <row r="79" spans="1:17" ht="12.75">
      <c r="A79" s="119">
        <v>78</v>
      </c>
      <c r="B79" s="120">
        <v>23.41</v>
      </c>
      <c r="C79" s="120">
        <v>33.07</v>
      </c>
      <c r="D79" s="120">
        <v>56.48</v>
      </c>
      <c r="E79" s="121"/>
      <c r="F79" s="122"/>
      <c r="G79" s="122"/>
      <c r="H79" s="122"/>
      <c r="I79" s="118"/>
      <c r="J79" s="119">
        <v>198</v>
      </c>
      <c r="K79" s="120">
        <v>44.78</v>
      </c>
      <c r="L79" s="120">
        <v>11.71</v>
      </c>
      <c r="M79" s="120">
        <v>56.49</v>
      </c>
      <c r="N79" s="121"/>
      <c r="O79" s="122"/>
      <c r="P79" s="122"/>
      <c r="Q79" s="122"/>
    </row>
    <row r="80" spans="1:17" ht="12.75">
      <c r="A80" s="119">
        <v>79</v>
      </c>
      <c r="B80" s="120">
        <v>23.55</v>
      </c>
      <c r="C80" s="120">
        <v>32.94</v>
      </c>
      <c r="D80" s="120">
        <v>56.49</v>
      </c>
      <c r="E80" s="121"/>
      <c r="F80" s="122"/>
      <c r="G80" s="122"/>
      <c r="H80" s="122"/>
      <c r="I80" s="118"/>
      <c r="J80" s="119">
        <v>199</v>
      </c>
      <c r="K80" s="120">
        <v>45.01</v>
      </c>
      <c r="L80" s="120">
        <v>11.47</v>
      </c>
      <c r="M80" s="120">
        <v>56.48</v>
      </c>
      <c r="N80" s="121"/>
      <c r="O80" s="122"/>
      <c r="P80" s="122"/>
      <c r="Q80" s="122"/>
    </row>
    <row r="81" spans="1:17" ht="12.75">
      <c r="A81" s="119">
        <v>80</v>
      </c>
      <c r="B81" s="120">
        <v>23.67</v>
      </c>
      <c r="C81" s="120">
        <v>32.82</v>
      </c>
      <c r="D81" s="120">
        <v>56.49</v>
      </c>
      <c r="E81" s="121"/>
      <c r="F81" s="122"/>
      <c r="G81" s="122"/>
      <c r="H81" s="122"/>
      <c r="I81" s="118"/>
      <c r="J81" s="119">
        <v>200</v>
      </c>
      <c r="K81" s="120">
        <v>45.27</v>
      </c>
      <c r="L81" s="120">
        <v>11.22</v>
      </c>
      <c r="M81" s="120">
        <v>56.49</v>
      </c>
      <c r="N81" s="121"/>
      <c r="O81" s="122"/>
      <c r="P81" s="122"/>
      <c r="Q81" s="122"/>
    </row>
    <row r="82" spans="1:17" ht="12.75">
      <c r="A82" s="119">
        <v>81</v>
      </c>
      <c r="B82" s="120">
        <v>23.8</v>
      </c>
      <c r="C82" s="120">
        <v>32.69</v>
      </c>
      <c r="D82" s="120">
        <v>56.49</v>
      </c>
      <c r="E82" s="121"/>
      <c r="F82" s="122"/>
      <c r="G82" s="122"/>
      <c r="H82" s="122"/>
      <c r="I82" s="118"/>
      <c r="J82" s="119">
        <v>201</v>
      </c>
      <c r="K82" s="120">
        <v>45.51</v>
      </c>
      <c r="L82" s="120">
        <v>10.98</v>
      </c>
      <c r="M82" s="120">
        <v>56.49</v>
      </c>
      <c r="N82" s="121"/>
      <c r="O82" s="122"/>
      <c r="P82" s="122"/>
      <c r="Q82" s="122"/>
    </row>
    <row r="83" spans="1:17" ht="12.75">
      <c r="A83" s="119">
        <v>82</v>
      </c>
      <c r="B83" s="120">
        <v>23.93</v>
      </c>
      <c r="C83" s="120">
        <v>32.56</v>
      </c>
      <c r="D83" s="120">
        <v>56.49</v>
      </c>
      <c r="E83" s="121"/>
      <c r="F83" s="122"/>
      <c r="G83" s="122"/>
      <c r="H83" s="122"/>
      <c r="I83" s="118"/>
      <c r="J83" s="119">
        <v>202</v>
      </c>
      <c r="K83" s="120">
        <v>45.76</v>
      </c>
      <c r="L83" s="120">
        <v>10.73</v>
      </c>
      <c r="M83" s="120">
        <v>56.49</v>
      </c>
      <c r="N83" s="121"/>
      <c r="O83" s="122"/>
      <c r="P83" s="122"/>
      <c r="Q83" s="122"/>
    </row>
    <row r="84" spans="1:17" ht="12.75">
      <c r="A84" s="119">
        <v>83</v>
      </c>
      <c r="B84" s="120">
        <v>24.06</v>
      </c>
      <c r="C84" s="120">
        <v>32.43</v>
      </c>
      <c r="D84" s="120">
        <v>56.49</v>
      </c>
      <c r="E84" s="121"/>
      <c r="F84" s="122"/>
      <c r="G84" s="122"/>
      <c r="H84" s="122"/>
      <c r="I84" s="118"/>
      <c r="J84" s="119">
        <v>203</v>
      </c>
      <c r="K84" s="120">
        <v>46.01</v>
      </c>
      <c r="L84" s="120">
        <v>10.48</v>
      </c>
      <c r="M84" s="120">
        <v>56.49</v>
      </c>
      <c r="N84" s="121"/>
      <c r="O84" s="122"/>
      <c r="P84" s="122"/>
      <c r="Q84" s="122"/>
    </row>
    <row r="85" spans="1:17" ht="12.75">
      <c r="A85" s="119">
        <v>84</v>
      </c>
      <c r="B85" s="120">
        <v>24.19</v>
      </c>
      <c r="C85" s="120">
        <v>32.3</v>
      </c>
      <c r="D85" s="120">
        <v>56.49</v>
      </c>
      <c r="E85" s="121"/>
      <c r="F85" s="122"/>
      <c r="G85" s="122"/>
      <c r="H85" s="122"/>
      <c r="I85" s="118"/>
      <c r="J85" s="119">
        <v>204</v>
      </c>
      <c r="K85" s="120">
        <v>46.26</v>
      </c>
      <c r="L85" s="120">
        <v>10.23</v>
      </c>
      <c r="M85" s="120">
        <v>56.49</v>
      </c>
      <c r="N85" s="121"/>
      <c r="O85" s="122"/>
      <c r="P85" s="122"/>
      <c r="Q85" s="122"/>
    </row>
    <row r="86" spans="1:17" ht="12.75">
      <c r="A86" s="119">
        <v>85</v>
      </c>
      <c r="B86" s="120">
        <v>24.32</v>
      </c>
      <c r="C86" s="120">
        <v>32.17</v>
      </c>
      <c r="D86" s="120">
        <v>56.49</v>
      </c>
      <c r="E86" s="121">
        <v>2023</v>
      </c>
      <c r="F86" s="122">
        <f aca="true" t="shared" si="13" ref="F86:H86">SUM(B86:B97)</f>
        <v>300.7</v>
      </c>
      <c r="G86" s="122">
        <f t="shared" si="13"/>
        <v>377.17</v>
      </c>
      <c r="H86" s="122">
        <f t="shared" si="13"/>
        <v>677.87</v>
      </c>
      <c r="I86" s="118"/>
      <c r="J86" s="119">
        <v>205</v>
      </c>
      <c r="K86" s="120">
        <v>46.51</v>
      </c>
      <c r="L86" s="120">
        <v>9.98</v>
      </c>
      <c r="M86" s="120">
        <v>56.49</v>
      </c>
      <c r="N86" s="121">
        <v>2033</v>
      </c>
      <c r="O86" s="122">
        <f aca="true" t="shared" si="14" ref="O86:Q86">SUM(K86:K97)</f>
        <v>575</v>
      </c>
      <c r="P86" s="122">
        <f t="shared" si="14"/>
        <v>102.87000000000002</v>
      </c>
      <c r="Q86" s="122">
        <f t="shared" si="14"/>
        <v>677.87</v>
      </c>
    </row>
    <row r="87" spans="1:17" ht="12.75">
      <c r="A87" s="119">
        <v>86</v>
      </c>
      <c r="B87" s="120">
        <v>24.45</v>
      </c>
      <c r="C87" s="120">
        <v>32.04</v>
      </c>
      <c r="D87" s="120">
        <v>56.49</v>
      </c>
      <c r="E87" s="121"/>
      <c r="F87" s="122"/>
      <c r="G87" s="122"/>
      <c r="H87" s="122"/>
      <c r="I87" s="118"/>
      <c r="J87" s="119">
        <v>206</v>
      </c>
      <c r="K87" s="120">
        <v>46.76</v>
      </c>
      <c r="L87" s="120">
        <v>9.73</v>
      </c>
      <c r="M87" s="120">
        <v>56.49</v>
      </c>
      <c r="N87" s="121"/>
      <c r="O87" s="122"/>
      <c r="P87" s="122"/>
      <c r="Q87" s="122"/>
    </row>
    <row r="88" spans="1:17" ht="12.75">
      <c r="A88" s="119">
        <v>87</v>
      </c>
      <c r="B88" s="120">
        <v>24.59</v>
      </c>
      <c r="C88" s="120">
        <v>31.9</v>
      </c>
      <c r="D88" s="120">
        <v>56.49</v>
      </c>
      <c r="E88" s="121"/>
      <c r="F88" s="122"/>
      <c r="G88" s="122"/>
      <c r="H88" s="122"/>
      <c r="I88" s="118"/>
      <c r="J88" s="119">
        <v>207</v>
      </c>
      <c r="K88" s="120">
        <v>47.01</v>
      </c>
      <c r="L88" s="120">
        <v>9.48</v>
      </c>
      <c r="M88" s="120">
        <v>56.49</v>
      </c>
      <c r="N88" s="121"/>
      <c r="O88" s="122"/>
      <c r="P88" s="122"/>
      <c r="Q88" s="122"/>
    </row>
    <row r="89" spans="1:17" ht="12.75">
      <c r="A89" s="119">
        <v>88</v>
      </c>
      <c r="B89" s="120">
        <v>24.72</v>
      </c>
      <c r="C89" s="120">
        <v>31.77</v>
      </c>
      <c r="D89" s="120">
        <v>56.49</v>
      </c>
      <c r="E89" s="121"/>
      <c r="F89" s="122"/>
      <c r="G89" s="122"/>
      <c r="H89" s="122"/>
      <c r="I89" s="118"/>
      <c r="J89" s="119">
        <v>208</v>
      </c>
      <c r="K89" s="120">
        <v>47.27</v>
      </c>
      <c r="L89" s="120">
        <v>9.22</v>
      </c>
      <c r="M89" s="120">
        <v>56.49</v>
      </c>
      <c r="N89" s="121"/>
      <c r="O89" s="122"/>
      <c r="P89" s="122"/>
      <c r="Q89" s="122"/>
    </row>
    <row r="90" spans="1:17" ht="12.75">
      <c r="A90" s="119">
        <v>89</v>
      </c>
      <c r="B90" s="120">
        <v>24.84</v>
      </c>
      <c r="C90" s="120">
        <v>31.64</v>
      </c>
      <c r="D90" s="120">
        <v>56.48</v>
      </c>
      <c r="E90" s="121"/>
      <c r="F90" s="122"/>
      <c r="G90" s="122"/>
      <c r="H90" s="122"/>
      <c r="I90" s="118"/>
      <c r="J90" s="119">
        <v>209</v>
      </c>
      <c r="K90" s="120">
        <v>47.52</v>
      </c>
      <c r="L90" s="120">
        <v>8.97</v>
      </c>
      <c r="M90" s="120">
        <v>56.49</v>
      </c>
      <c r="N90" s="121"/>
      <c r="O90" s="122"/>
      <c r="P90" s="122"/>
      <c r="Q90" s="122"/>
    </row>
    <row r="91" spans="1:17" ht="12.75">
      <c r="A91" s="119">
        <v>90</v>
      </c>
      <c r="B91" s="120">
        <v>24.99</v>
      </c>
      <c r="C91" s="120">
        <v>31.5</v>
      </c>
      <c r="D91" s="120">
        <v>56.49</v>
      </c>
      <c r="E91" s="121"/>
      <c r="F91" s="122"/>
      <c r="G91" s="122"/>
      <c r="H91" s="122"/>
      <c r="I91" s="118"/>
      <c r="J91" s="119">
        <v>210</v>
      </c>
      <c r="K91" s="120">
        <v>47.77</v>
      </c>
      <c r="L91" s="120">
        <v>8.71</v>
      </c>
      <c r="M91" s="120">
        <v>56.48</v>
      </c>
      <c r="N91" s="121"/>
      <c r="O91" s="122"/>
      <c r="P91" s="122"/>
      <c r="Q91" s="122"/>
    </row>
    <row r="92" spans="1:17" ht="12.75">
      <c r="A92" s="119">
        <v>91</v>
      </c>
      <c r="B92" s="120">
        <v>25.12</v>
      </c>
      <c r="C92" s="120">
        <v>31.37</v>
      </c>
      <c r="D92" s="120">
        <v>56.49</v>
      </c>
      <c r="E92" s="121"/>
      <c r="F92" s="122"/>
      <c r="G92" s="122"/>
      <c r="H92" s="122"/>
      <c r="I92" s="118"/>
      <c r="J92" s="119">
        <v>211</v>
      </c>
      <c r="K92" s="120">
        <v>48.04</v>
      </c>
      <c r="L92" s="120">
        <v>8.45</v>
      </c>
      <c r="M92" s="120">
        <v>56.49</v>
      </c>
      <c r="N92" s="121"/>
      <c r="O92" s="122"/>
      <c r="P92" s="122"/>
      <c r="Q92" s="122"/>
    </row>
    <row r="93" spans="1:17" ht="12.75">
      <c r="A93" s="119">
        <v>92</v>
      </c>
      <c r="B93" s="120">
        <v>25.26</v>
      </c>
      <c r="C93" s="120">
        <v>31.23</v>
      </c>
      <c r="D93" s="120">
        <v>56.49</v>
      </c>
      <c r="E93" s="121"/>
      <c r="F93" s="122"/>
      <c r="G93" s="122"/>
      <c r="H93" s="122"/>
      <c r="I93" s="118"/>
      <c r="J93" s="119">
        <v>212</v>
      </c>
      <c r="K93" s="120">
        <v>48.3</v>
      </c>
      <c r="L93" s="120">
        <v>8.19</v>
      </c>
      <c r="M93" s="120">
        <v>56.49</v>
      </c>
      <c r="N93" s="121"/>
      <c r="O93" s="122"/>
      <c r="P93" s="122"/>
      <c r="Q93" s="122"/>
    </row>
    <row r="94" spans="1:17" ht="12.75">
      <c r="A94" s="119">
        <v>93</v>
      </c>
      <c r="B94" s="120">
        <v>25.4</v>
      </c>
      <c r="C94" s="120">
        <v>31.09</v>
      </c>
      <c r="D94" s="120">
        <v>56.49</v>
      </c>
      <c r="E94" s="121"/>
      <c r="F94" s="122"/>
      <c r="G94" s="122"/>
      <c r="H94" s="122"/>
      <c r="I94" s="118"/>
      <c r="J94" s="119">
        <v>213</v>
      </c>
      <c r="K94" s="120">
        <v>48.56</v>
      </c>
      <c r="L94" s="120">
        <v>7.93</v>
      </c>
      <c r="M94" s="120">
        <v>56.49</v>
      </c>
      <c r="N94" s="121"/>
      <c r="O94" s="122"/>
      <c r="P94" s="122"/>
      <c r="Q94" s="122"/>
    </row>
    <row r="95" spans="1:17" ht="12.75">
      <c r="A95" s="119">
        <v>94</v>
      </c>
      <c r="B95" s="120">
        <v>25.53</v>
      </c>
      <c r="C95" s="120">
        <v>30.96</v>
      </c>
      <c r="D95" s="120">
        <v>56.49</v>
      </c>
      <c r="E95" s="121"/>
      <c r="F95" s="122"/>
      <c r="G95" s="122"/>
      <c r="H95" s="122"/>
      <c r="I95" s="118"/>
      <c r="J95" s="119">
        <v>214</v>
      </c>
      <c r="K95" s="120">
        <v>48.82</v>
      </c>
      <c r="L95" s="120">
        <v>7.67</v>
      </c>
      <c r="M95" s="120">
        <v>56.49</v>
      </c>
      <c r="N95" s="121"/>
      <c r="O95" s="122"/>
      <c r="P95" s="122"/>
      <c r="Q95" s="122"/>
    </row>
    <row r="96" spans="1:17" ht="12.75">
      <c r="A96" s="119">
        <v>95</v>
      </c>
      <c r="B96" s="120">
        <v>25.67</v>
      </c>
      <c r="C96" s="120">
        <v>30.82</v>
      </c>
      <c r="D96" s="120">
        <v>56.49</v>
      </c>
      <c r="E96" s="121"/>
      <c r="F96" s="122"/>
      <c r="G96" s="122"/>
      <c r="H96" s="122"/>
      <c r="I96" s="118"/>
      <c r="J96" s="119">
        <v>215</v>
      </c>
      <c r="K96" s="120">
        <v>49.09</v>
      </c>
      <c r="L96" s="120">
        <v>7.4</v>
      </c>
      <c r="M96" s="120">
        <v>56.49</v>
      </c>
      <c r="N96" s="121"/>
      <c r="O96" s="122"/>
      <c r="P96" s="122"/>
      <c r="Q96" s="122"/>
    </row>
    <row r="97" spans="1:17" ht="12.75">
      <c r="A97" s="119">
        <v>96</v>
      </c>
      <c r="B97" s="120">
        <v>25.81</v>
      </c>
      <c r="C97" s="120">
        <v>30.68</v>
      </c>
      <c r="D97" s="120">
        <v>56.49</v>
      </c>
      <c r="E97" s="121"/>
      <c r="F97" s="122"/>
      <c r="G97" s="122"/>
      <c r="H97" s="122"/>
      <c r="I97" s="118"/>
      <c r="J97" s="119">
        <v>216</v>
      </c>
      <c r="K97" s="120">
        <v>49.35</v>
      </c>
      <c r="L97" s="120">
        <v>7.14</v>
      </c>
      <c r="M97" s="120">
        <v>56.49</v>
      </c>
      <c r="N97" s="121"/>
      <c r="O97" s="122"/>
      <c r="P97" s="122"/>
      <c r="Q97" s="122"/>
    </row>
    <row r="98" spans="1:17" ht="12.75">
      <c r="A98" s="119">
        <v>97</v>
      </c>
      <c r="B98" s="120">
        <v>25.95</v>
      </c>
      <c r="C98" s="120">
        <v>30.54</v>
      </c>
      <c r="D98" s="120">
        <v>56.49</v>
      </c>
      <c r="E98" s="121">
        <v>2024</v>
      </c>
      <c r="F98" s="122">
        <f aca="true" t="shared" si="15" ref="F98:H98">SUM(B98:B109)</f>
        <v>320.84000000000003</v>
      </c>
      <c r="G98" s="122">
        <f t="shared" si="15"/>
        <v>357.03000000000003</v>
      </c>
      <c r="H98" s="122">
        <f t="shared" si="15"/>
        <v>677.87</v>
      </c>
      <c r="I98" s="118"/>
      <c r="J98" s="119">
        <v>217</v>
      </c>
      <c r="K98" s="120">
        <v>49.62</v>
      </c>
      <c r="L98" s="120">
        <v>6.87</v>
      </c>
      <c r="M98" s="120">
        <v>56.49</v>
      </c>
      <c r="N98" s="121">
        <v>2034</v>
      </c>
      <c r="O98" s="122">
        <f aca="true" t="shared" si="16" ref="O98:Q98">SUM(K98:K109)</f>
        <v>613.4999999999999</v>
      </c>
      <c r="P98" s="122">
        <f t="shared" si="16"/>
        <v>64.36999999999999</v>
      </c>
      <c r="Q98" s="122">
        <f t="shared" si="16"/>
        <v>677.87</v>
      </c>
    </row>
    <row r="99" spans="1:17" ht="12.75">
      <c r="A99" s="119">
        <v>98</v>
      </c>
      <c r="B99" s="120">
        <v>26.09</v>
      </c>
      <c r="C99" s="120">
        <v>30.4</v>
      </c>
      <c r="D99" s="120">
        <v>56.49</v>
      </c>
      <c r="E99" s="121"/>
      <c r="F99" s="122"/>
      <c r="G99" s="122"/>
      <c r="H99" s="122"/>
      <c r="I99" s="118"/>
      <c r="J99" s="119">
        <v>218</v>
      </c>
      <c r="K99" s="120">
        <v>49.89</v>
      </c>
      <c r="L99" s="120">
        <v>6.6</v>
      </c>
      <c r="M99" s="120">
        <v>56.49</v>
      </c>
      <c r="N99" s="121"/>
      <c r="O99" s="122"/>
      <c r="P99" s="122"/>
      <c r="Q99" s="122"/>
    </row>
    <row r="100" spans="1:17" ht="12.75">
      <c r="A100" s="119">
        <v>99</v>
      </c>
      <c r="B100" s="120">
        <v>26.23</v>
      </c>
      <c r="C100" s="120">
        <v>30.26</v>
      </c>
      <c r="D100" s="120">
        <v>56.49</v>
      </c>
      <c r="E100" s="121"/>
      <c r="F100" s="122"/>
      <c r="G100" s="122"/>
      <c r="H100" s="122"/>
      <c r="I100" s="118"/>
      <c r="J100" s="119">
        <v>219</v>
      </c>
      <c r="K100" s="120">
        <v>50.16</v>
      </c>
      <c r="L100" s="120">
        <v>6.33</v>
      </c>
      <c r="M100" s="120">
        <v>56.49</v>
      </c>
      <c r="N100" s="121"/>
      <c r="O100" s="122"/>
      <c r="P100" s="122"/>
      <c r="Q100" s="122"/>
    </row>
    <row r="101" spans="1:17" ht="12.75">
      <c r="A101" s="119">
        <v>100</v>
      </c>
      <c r="B101" s="120">
        <v>26.36</v>
      </c>
      <c r="C101" s="120">
        <v>30.12</v>
      </c>
      <c r="D101" s="120">
        <v>56.48</v>
      </c>
      <c r="E101" s="121"/>
      <c r="F101" s="122"/>
      <c r="G101" s="122"/>
      <c r="H101" s="122"/>
      <c r="I101" s="118"/>
      <c r="J101" s="119">
        <v>220</v>
      </c>
      <c r="K101" s="120">
        <v>50.43</v>
      </c>
      <c r="L101" s="120">
        <v>6.06</v>
      </c>
      <c r="M101" s="120">
        <v>56.49</v>
      </c>
      <c r="N101" s="121"/>
      <c r="O101" s="122"/>
      <c r="P101" s="122"/>
      <c r="Q101" s="122"/>
    </row>
    <row r="102" spans="1:17" ht="12.75">
      <c r="A102" s="119">
        <v>101</v>
      </c>
      <c r="B102" s="120">
        <v>26.52</v>
      </c>
      <c r="C102" s="120">
        <v>29.97</v>
      </c>
      <c r="D102" s="120">
        <v>56.49</v>
      </c>
      <c r="E102" s="121"/>
      <c r="F102" s="122"/>
      <c r="G102" s="122"/>
      <c r="H102" s="122"/>
      <c r="I102" s="118"/>
      <c r="J102" s="119">
        <v>221</v>
      </c>
      <c r="K102" s="120">
        <v>50.69</v>
      </c>
      <c r="L102" s="120">
        <v>5.79</v>
      </c>
      <c r="M102" s="120">
        <v>56.48</v>
      </c>
      <c r="N102" s="121"/>
      <c r="O102" s="122"/>
      <c r="P102" s="122"/>
      <c r="Q102" s="122"/>
    </row>
    <row r="103" spans="1:17" ht="12.75">
      <c r="A103" s="119">
        <v>102</v>
      </c>
      <c r="B103" s="120">
        <v>26.66</v>
      </c>
      <c r="C103" s="120">
        <v>29.83</v>
      </c>
      <c r="D103" s="120">
        <v>56.49</v>
      </c>
      <c r="E103" s="121"/>
      <c r="F103" s="122"/>
      <c r="G103" s="122"/>
      <c r="H103" s="122"/>
      <c r="I103" s="118"/>
      <c r="J103" s="119">
        <v>222</v>
      </c>
      <c r="K103" s="120">
        <v>50.98</v>
      </c>
      <c r="L103" s="120">
        <v>5.51</v>
      </c>
      <c r="M103" s="120">
        <v>56.49</v>
      </c>
      <c r="N103" s="121"/>
      <c r="O103" s="122"/>
      <c r="P103" s="122"/>
      <c r="Q103" s="122"/>
    </row>
    <row r="104" spans="1:17" ht="12.75">
      <c r="A104" s="119">
        <v>103</v>
      </c>
      <c r="B104" s="120">
        <v>26.81</v>
      </c>
      <c r="C104" s="120">
        <v>29.68</v>
      </c>
      <c r="D104" s="120">
        <v>56.49</v>
      </c>
      <c r="E104" s="121"/>
      <c r="F104" s="122"/>
      <c r="G104" s="122"/>
      <c r="H104" s="122"/>
      <c r="I104" s="118"/>
      <c r="J104" s="119">
        <v>223</v>
      </c>
      <c r="K104" s="120">
        <v>51.26</v>
      </c>
      <c r="L104" s="120">
        <v>5.23</v>
      </c>
      <c r="M104" s="120">
        <v>56.49</v>
      </c>
      <c r="N104" s="121"/>
      <c r="O104" s="122"/>
      <c r="P104" s="122"/>
      <c r="Q104" s="122"/>
    </row>
    <row r="105" spans="1:17" ht="12.75">
      <c r="A105" s="119">
        <v>104</v>
      </c>
      <c r="B105" s="120">
        <v>26.95</v>
      </c>
      <c r="C105" s="120">
        <v>29.54</v>
      </c>
      <c r="D105" s="120">
        <v>56.49</v>
      </c>
      <c r="E105" s="121"/>
      <c r="F105" s="122"/>
      <c r="G105" s="122"/>
      <c r="H105" s="122"/>
      <c r="I105" s="118"/>
      <c r="J105" s="119">
        <v>224</v>
      </c>
      <c r="K105" s="120">
        <v>51.53</v>
      </c>
      <c r="L105" s="120">
        <v>4.96</v>
      </c>
      <c r="M105" s="120">
        <v>56.49</v>
      </c>
      <c r="N105" s="121"/>
      <c r="O105" s="122"/>
      <c r="P105" s="122"/>
      <c r="Q105" s="122"/>
    </row>
    <row r="106" spans="1:17" ht="12.75">
      <c r="A106" s="119">
        <v>105</v>
      </c>
      <c r="B106" s="120">
        <v>27.1</v>
      </c>
      <c r="C106" s="120">
        <v>29.39</v>
      </c>
      <c r="D106" s="120">
        <v>56.49</v>
      </c>
      <c r="E106" s="121"/>
      <c r="F106" s="122"/>
      <c r="G106" s="122"/>
      <c r="H106" s="122"/>
      <c r="I106" s="118"/>
      <c r="J106" s="119">
        <v>225</v>
      </c>
      <c r="K106" s="120">
        <v>51.81</v>
      </c>
      <c r="L106" s="120">
        <v>4.68</v>
      </c>
      <c r="M106" s="120">
        <v>56.49</v>
      </c>
      <c r="N106" s="121"/>
      <c r="O106" s="122"/>
      <c r="P106" s="122"/>
      <c r="Q106" s="122"/>
    </row>
    <row r="107" spans="1:17" ht="12.75">
      <c r="A107" s="119">
        <v>106</v>
      </c>
      <c r="B107" s="120">
        <v>27.24</v>
      </c>
      <c r="C107" s="120">
        <v>29.25</v>
      </c>
      <c r="D107" s="120">
        <v>56.49</v>
      </c>
      <c r="E107" s="121"/>
      <c r="F107" s="122"/>
      <c r="G107" s="122"/>
      <c r="H107" s="122"/>
      <c r="I107" s="118"/>
      <c r="J107" s="119">
        <v>226</v>
      </c>
      <c r="K107" s="120">
        <v>52.09</v>
      </c>
      <c r="L107" s="120">
        <v>4.4</v>
      </c>
      <c r="M107" s="120">
        <v>56.49</v>
      </c>
      <c r="N107" s="121"/>
      <c r="O107" s="122"/>
      <c r="P107" s="122"/>
      <c r="Q107" s="122"/>
    </row>
    <row r="108" spans="1:17" ht="12.75">
      <c r="A108" s="119">
        <v>107</v>
      </c>
      <c r="B108" s="120">
        <v>27.39</v>
      </c>
      <c r="C108" s="120">
        <v>29.1</v>
      </c>
      <c r="D108" s="120">
        <v>56.49</v>
      </c>
      <c r="E108" s="121"/>
      <c r="F108" s="122"/>
      <c r="G108" s="122"/>
      <c r="H108" s="122"/>
      <c r="I108" s="118"/>
      <c r="J108" s="119">
        <v>227</v>
      </c>
      <c r="K108" s="120">
        <v>52.38</v>
      </c>
      <c r="L108" s="120">
        <v>4.11</v>
      </c>
      <c r="M108" s="120">
        <v>56.49</v>
      </c>
      <c r="N108" s="121"/>
      <c r="O108" s="122"/>
      <c r="P108" s="122"/>
      <c r="Q108" s="122"/>
    </row>
    <row r="109" spans="1:17" ht="12.75">
      <c r="A109" s="119">
        <v>108</v>
      </c>
      <c r="B109" s="120">
        <v>27.54</v>
      </c>
      <c r="C109" s="120">
        <v>28.95</v>
      </c>
      <c r="D109" s="120">
        <v>56.49</v>
      </c>
      <c r="E109" s="121"/>
      <c r="F109" s="122"/>
      <c r="G109" s="122"/>
      <c r="H109" s="122"/>
      <c r="I109" s="118"/>
      <c r="J109" s="119">
        <v>228</v>
      </c>
      <c r="K109" s="120">
        <v>52.66</v>
      </c>
      <c r="L109" s="120">
        <v>3.83</v>
      </c>
      <c r="M109" s="120">
        <v>56.49</v>
      </c>
      <c r="N109" s="121"/>
      <c r="O109" s="122"/>
      <c r="P109" s="122"/>
      <c r="Q109" s="122"/>
    </row>
    <row r="110" spans="1:17" ht="12.75">
      <c r="A110" s="119">
        <v>109</v>
      </c>
      <c r="B110" s="120">
        <v>27.69</v>
      </c>
      <c r="C110" s="120">
        <v>28.8</v>
      </c>
      <c r="D110" s="120">
        <v>56.49</v>
      </c>
      <c r="E110" s="121">
        <v>2025</v>
      </c>
      <c r="F110" s="122">
        <f aca="true" t="shared" si="17" ref="F110:H110">SUM(B110:B121)</f>
        <v>342.33</v>
      </c>
      <c r="G110" s="122">
        <f t="shared" si="17"/>
        <v>335.54</v>
      </c>
      <c r="H110" s="122">
        <f t="shared" si="17"/>
        <v>677.87</v>
      </c>
      <c r="I110" s="118"/>
      <c r="J110" s="119">
        <v>229</v>
      </c>
      <c r="K110" s="120">
        <v>52.94</v>
      </c>
      <c r="L110" s="120">
        <v>3.55</v>
      </c>
      <c r="M110" s="120">
        <v>56.49</v>
      </c>
      <c r="N110" s="121">
        <v>2035</v>
      </c>
      <c r="O110" s="122">
        <f aca="true" t="shared" si="18" ref="O110:Q110">SUM(K110:K121)</f>
        <v>654.6500000000001</v>
      </c>
      <c r="P110" s="122">
        <f t="shared" si="18"/>
        <v>23.290000000000003</v>
      </c>
      <c r="Q110" s="122">
        <f t="shared" si="18"/>
        <v>677.94</v>
      </c>
    </row>
    <row r="111" spans="1:17" ht="12.75">
      <c r="A111" s="119">
        <v>110</v>
      </c>
      <c r="B111" s="120">
        <v>27.84</v>
      </c>
      <c r="C111" s="120">
        <v>28.65</v>
      </c>
      <c r="D111" s="120">
        <v>56.49</v>
      </c>
      <c r="E111" s="121"/>
      <c r="F111" s="122"/>
      <c r="G111" s="122"/>
      <c r="H111" s="122"/>
      <c r="I111" s="118"/>
      <c r="J111" s="119">
        <v>230</v>
      </c>
      <c r="K111" s="120">
        <v>53.23</v>
      </c>
      <c r="L111" s="120">
        <v>3.26</v>
      </c>
      <c r="M111" s="120">
        <v>56.49</v>
      </c>
      <c r="N111" s="121"/>
      <c r="O111" s="122"/>
      <c r="P111" s="122"/>
      <c r="Q111" s="122"/>
    </row>
    <row r="112" spans="1:17" ht="12.75">
      <c r="A112" s="119">
        <v>111</v>
      </c>
      <c r="B112" s="120">
        <v>27.98</v>
      </c>
      <c r="C112" s="120">
        <v>28.5</v>
      </c>
      <c r="D112" s="120">
        <v>56.48</v>
      </c>
      <c r="E112" s="121"/>
      <c r="F112" s="122"/>
      <c r="G112" s="122"/>
      <c r="H112" s="122"/>
      <c r="I112" s="118"/>
      <c r="J112" s="119">
        <v>231</v>
      </c>
      <c r="K112" s="120">
        <v>53.52</v>
      </c>
      <c r="L112" s="120">
        <v>2.97</v>
      </c>
      <c r="M112" s="120">
        <v>56.49</v>
      </c>
      <c r="N112" s="121"/>
      <c r="O112" s="122"/>
      <c r="P112" s="122"/>
      <c r="Q112" s="122"/>
    </row>
    <row r="113" spans="1:17" ht="12.75">
      <c r="A113" s="119">
        <v>112</v>
      </c>
      <c r="B113" s="120">
        <v>28.14</v>
      </c>
      <c r="C113" s="120">
        <v>28.35</v>
      </c>
      <c r="D113" s="120">
        <v>56.49</v>
      </c>
      <c r="E113" s="121"/>
      <c r="F113" s="122"/>
      <c r="G113" s="122"/>
      <c r="H113" s="122"/>
      <c r="I113" s="118"/>
      <c r="J113" s="119">
        <v>232</v>
      </c>
      <c r="K113" s="120">
        <v>53.8</v>
      </c>
      <c r="L113" s="120">
        <v>2.68</v>
      </c>
      <c r="M113" s="120">
        <v>56.48</v>
      </c>
      <c r="N113" s="121"/>
      <c r="O113" s="122"/>
      <c r="P113" s="122"/>
      <c r="Q113" s="122"/>
    </row>
    <row r="114" spans="1:17" ht="12.75">
      <c r="A114" s="119">
        <v>113</v>
      </c>
      <c r="B114" s="120">
        <v>28.29</v>
      </c>
      <c r="C114" s="120">
        <v>28.2</v>
      </c>
      <c r="D114" s="120">
        <v>56.49</v>
      </c>
      <c r="E114" s="121"/>
      <c r="F114" s="122"/>
      <c r="G114" s="122"/>
      <c r="H114" s="122"/>
      <c r="I114" s="118"/>
      <c r="J114" s="119">
        <v>233</v>
      </c>
      <c r="K114" s="120">
        <v>54.1</v>
      </c>
      <c r="L114" s="120">
        <v>2.39</v>
      </c>
      <c r="M114" s="120">
        <v>56.49</v>
      </c>
      <c r="N114" s="121"/>
      <c r="O114" s="122"/>
      <c r="P114" s="122"/>
      <c r="Q114" s="122"/>
    </row>
    <row r="115" spans="1:17" ht="12.75">
      <c r="A115" s="119">
        <v>114</v>
      </c>
      <c r="B115" s="120">
        <v>28.45</v>
      </c>
      <c r="C115" s="120">
        <v>28.04</v>
      </c>
      <c r="D115" s="120">
        <v>56.49</v>
      </c>
      <c r="E115" s="121"/>
      <c r="F115" s="122"/>
      <c r="G115" s="122"/>
      <c r="H115" s="122"/>
      <c r="I115" s="118"/>
      <c r="J115" s="119">
        <v>234</v>
      </c>
      <c r="K115" s="120">
        <v>54.39</v>
      </c>
      <c r="L115" s="120">
        <v>2.1</v>
      </c>
      <c r="M115" s="120">
        <v>56.49</v>
      </c>
      <c r="N115" s="121"/>
      <c r="O115" s="122"/>
      <c r="P115" s="122"/>
      <c r="Q115" s="122"/>
    </row>
    <row r="116" spans="1:17" ht="12.75">
      <c r="A116" s="119">
        <v>115</v>
      </c>
      <c r="B116" s="120">
        <v>28.6</v>
      </c>
      <c r="C116" s="120">
        <v>27.89</v>
      </c>
      <c r="D116" s="120">
        <v>56.49</v>
      </c>
      <c r="E116" s="121"/>
      <c r="F116" s="122"/>
      <c r="G116" s="122"/>
      <c r="H116" s="122"/>
      <c r="I116" s="118"/>
      <c r="J116" s="119">
        <v>235</v>
      </c>
      <c r="K116" s="120">
        <v>54.69</v>
      </c>
      <c r="L116" s="120">
        <v>1.8</v>
      </c>
      <c r="M116" s="120">
        <v>56.49</v>
      </c>
      <c r="N116" s="121"/>
      <c r="O116" s="122"/>
      <c r="P116" s="122"/>
      <c r="Q116" s="122"/>
    </row>
    <row r="117" spans="1:17" ht="12.75">
      <c r="A117" s="119">
        <v>116</v>
      </c>
      <c r="B117" s="120">
        <v>28.76</v>
      </c>
      <c r="C117" s="120">
        <v>27.73</v>
      </c>
      <c r="D117" s="120">
        <v>56.49</v>
      </c>
      <c r="E117" s="121"/>
      <c r="F117" s="122"/>
      <c r="G117" s="122"/>
      <c r="H117" s="122"/>
      <c r="I117" s="118"/>
      <c r="J117" s="119">
        <v>236</v>
      </c>
      <c r="K117" s="120">
        <v>54.98</v>
      </c>
      <c r="L117" s="120">
        <v>1.51</v>
      </c>
      <c r="M117" s="120">
        <v>56.49</v>
      </c>
      <c r="N117" s="121"/>
      <c r="O117" s="122"/>
      <c r="P117" s="122"/>
      <c r="Q117" s="122"/>
    </row>
    <row r="118" spans="1:17" ht="12.75">
      <c r="A118" s="119">
        <v>117</v>
      </c>
      <c r="B118" s="120">
        <v>28.91</v>
      </c>
      <c r="C118" s="120">
        <v>27.58</v>
      </c>
      <c r="D118" s="120">
        <v>56.49</v>
      </c>
      <c r="E118" s="121"/>
      <c r="F118" s="122"/>
      <c r="G118" s="122"/>
      <c r="H118" s="122"/>
      <c r="I118" s="118"/>
      <c r="J118" s="119">
        <v>237</v>
      </c>
      <c r="K118" s="120">
        <v>55.28</v>
      </c>
      <c r="L118" s="120">
        <v>1.21</v>
      </c>
      <c r="M118" s="120">
        <v>56.49</v>
      </c>
      <c r="N118" s="121"/>
      <c r="O118" s="122"/>
      <c r="P118" s="122"/>
      <c r="Q118" s="122"/>
    </row>
    <row r="119" spans="1:17" ht="12.75">
      <c r="A119" s="119">
        <v>118</v>
      </c>
      <c r="B119" s="120">
        <v>29.07</v>
      </c>
      <c r="C119" s="120">
        <v>27.42</v>
      </c>
      <c r="D119" s="120">
        <v>56.49</v>
      </c>
      <c r="E119" s="121"/>
      <c r="F119" s="122"/>
      <c r="G119" s="122"/>
      <c r="H119" s="122"/>
      <c r="I119" s="118"/>
      <c r="J119" s="119">
        <v>238</v>
      </c>
      <c r="K119" s="120">
        <v>55.58</v>
      </c>
      <c r="L119" s="120">
        <v>0.91</v>
      </c>
      <c r="M119" s="120">
        <v>56.49</v>
      </c>
      <c r="N119" s="121"/>
      <c r="O119" s="122"/>
      <c r="P119" s="122"/>
      <c r="Q119" s="122"/>
    </row>
    <row r="120" spans="1:17" ht="12.75">
      <c r="A120" s="119">
        <v>119</v>
      </c>
      <c r="B120" s="120">
        <v>29.22</v>
      </c>
      <c r="C120" s="120">
        <v>27.27</v>
      </c>
      <c r="D120" s="120">
        <v>56.49</v>
      </c>
      <c r="E120" s="121"/>
      <c r="F120" s="122"/>
      <c r="G120" s="122"/>
      <c r="H120" s="122"/>
      <c r="I120" s="118"/>
      <c r="J120" s="119">
        <v>239</v>
      </c>
      <c r="K120" s="120">
        <v>55.88</v>
      </c>
      <c r="L120" s="120">
        <v>0.61</v>
      </c>
      <c r="M120" s="120">
        <v>56.49</v>
      </c>
      <c r="N120" s="121"/>
      <c r="O120" s="122"/>
      <c r="P120" s="122"/>
      <c r="Q120" s="122"/>
    </row>
    <row r="121" spans="1:17" ht="12.75">
      <c r="A121" s="119">
        <v>120</v>
      </c>
      <c r="B121" s="120">
        <v>29.38</v>
      </c>
      <c r="C121" s="120">
        <v>27.11</v>
      </c>
      <c r="D121" s="120">
        <v>56.49</v>
      </c>
      <c r="E121" s="121"/>
      <c r="F121" s="122"/>
      <c r="G121" s="122"/>
      <c r="H121" s="122"/>
      <c r="I121" s="118"/>
      <c r="J121" s="119">
        <v>240</v>
      </c>
      <c r="K121" s="120">
        <v>56.26</v>
      </c>
      <c r="L121" s="120">
        <v>0.30000000000000004</v>
      </c>
      <c r="M121" s="120">
        <v>56.56</v>
      </c>
      <c r="N121" s="121"/>
      <c r="O121" s="122"/>
      <c r="P121" s="122"/>
      <c r="Q121" s="122"/>
    </row>
    <row r="242" ht="15" customHeight="1" hidden="1">
      <c r="F242" s="123">
        <f>SUM(B242:B242)</f>
        <v>0</v>
      </c>
    </row>
  </sheetData>
  <sheetProtection selectLockedCells="1" selectUnlockedCells="1"/>
  <mergeCells count="80">
    <mergeCell ref="E2:E13"/>
    <mergeCell ref="F2:F13"/>
    <mergeCell ref="G2:G13"/>
    <mergeCell ref="H2:H13"/>
    <mergeCell ref="N2:N13"/>
    <mergeCell ref="O2:O13"/>
    <mergeCell ref="P2:P13"/>
    <mergeCell ref="Q2:Q13"/>
    <mergeCell ref="E14:E25"/>
    <mergeCell ref="F14:F25"/>
    <mergeCell ref="G14:G25"/>
    <mergeCell ref="H14:H25"/>
    <mergeCell ref="N14:N25"/>
    <mergeCell ref="O14:O25"/>
    <mergeCell ref="P14:P25"/>
    <mergeCell ref="Q14:Q25"/>
    <mergeCell ref="E26:E37"/>
    <mergeCell ref="F26:F37"/>
    <mergeCell ref="G26:G37"/>
    <mergeCell ref="H26:H37"/>
    <mergeCell ref="N26:N37"/>
    <mergeCell ref="O26:O37"/>
    <mergeCell ref="P26:P37"/>
    <mergeCell ref="Q26:Q37"/>
    <mergeCell ref="E38:E49"/>
    <mergeCell ref="F38:F49"/>
    <mergeCell ref="G38:G49"/>
    <mergeCell ref="H38:H49"/>
    <mergeCell ref="N38:N49"/>
    <mergeCell ref="O38:O49"/>
    <mergeCell ref="P38:P49"/>
    <mergeCell ref="Q38:Q49"/>
    <mergeCell ref="E50:E61"/>
    <mergeCell ref="F50:F61"/>
    <mergeCell ref="G50:G61"/>
    <mergeCell ref="H50:H61"/>
    <mergeCell ref="N50:N61"/>
    <mergeCell ref="O50:O61"/>
    <mergeCell ref="P50:P61"/>
    <mergeCell ref="Q50:Q61"/>
    <mergeCell ref="E62:E73"/>
    <mergeCell ref="F62:F73"/>
    <mergeCell ref="G62:G73"/>
    <mergeCell ref="H62:H73"/>
    <mergeCell ref="N62:N73"/>
    <mergeCell ref="O62:O73"/>
    <mergeCell ref="P62:P73"/>
    <mergeCell ref="Q62:Q73"/>
    <mergeCell ref="E74:E85"/>
    <mergeCell ref="F74:F85"/>
    <mergeCell ref="G74:G85"/>
    <mergeCell ref="H74:H85"/>
    <mergeCell ref="N74:N85"/>
    <mergeCell ref="O74:O85"/>
    <mergeCell ref="P74:P85"/>
    <mergeCell ref="Q74:Q85"/>
    <mergeCell ref="E86:E97"/>
    <mergeCell ref="F86:F97"/>
    <mergeCell ref="G86:G97"/>
    <mergeCell ref="H86:H97"/>
    <mergeCell ref="N86:N97"/>
    <mergeCell ref="O86:O97"/>
    <mergeCell ref="P86:P97"/>
    <mergeCell ref="Q86:Q97"/>
    <mergeCell ref="E98:E109"/>
    <mergeCell ref="F98:F109"/>
    <mergeCell ref="G98:G109"/>
    <mergeCell ref="H98:H109"/>
    <mergeCell ref="N98:N109"/>
    <mergeCell ref="O98:O109"/>
    <mergeCell ref="P98:P109"/>
    <mergeCell ref="Q98:Q109"/>
    <mergeCell ref="E110:E121"/>
    <mergeCell ref="F110:F121"/>
    <mergeCell ref="G110:G121"/>
    <mergeCell ref="H110:H121"/>
    <mergeCell ref="N110:N121"/>
    <mergeCell ref="O110:O121"/>
    <mergeCell ref="P110:P121"/>
    <mergeCell ref="Q110:Q121"/>
  </mergeCells>
  <printOptions/>
  <pageMargins left="0.7" right="0.7" top="0.6812499999999999" bottom="0.75" header="0.3" footer="0.3"/>
  <pageSetup horizontalDpi="300" verticalDpi="300" orientation="portrait" paperSize="9" scale="52"/>
  <headerFooter alignWithMargins="0">
    <oddHeader>&amp;R&amp;"Czcionka tekstu podstawowego,Regularna"&amp;11Zespół Opieki Zdrowotnej w Brodnicy</oddHeader>
    <oddFooter>&amp;C&amp;"Czcionka tekstu podstawowego,Regularna"&amp;11Lech Consulting Sp. z o.o.
www.LC.net.pl</oddFooter>
  </headerFooter>
  <rowBreaks count="1" manualBreakCount="1">
    <brk id="8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3:AJ72"/>
  <sheetViews>
    <sheetView showGridLines="0" view="pageBreakPreview" zoomScale="90" zoomScaleNormal="90" zoomScaleSheetLayoutView="90" workbookViewId="0" topLeftCell="A1">
      <selection activeCell="R14" activeCellId="1" sqref="L37:N37 R14"/>
    </sheetView>
  </sheetViews>
  <sheetFormatPr defaultColWidth="9.140625" defaultRowHeight="12.75"/>
  <cols>
    <col min="1" max="1" width="6.00390625" style="0" customWidth="1"/>
    <col min="2" max="2" width="30.00390625" style="0" customWidth="1"/>
    <col min="3" max="38" width="9.00390625" style="0" customWidth="1"/>
    <col min="39" max="64" width="9.57421875" style="0" customWidth="1"/>
    <col min="65" max="16384" width="9.421875" style="0" customWidth="1"/>
  </cols>
  <sheetData>
    <row r="3" ht="12.75">
      <c r="B3" s="124" t="s">
        <v>235</v>
      </c>
    </row>
    <row r="4" spans="3:24" s="125" customFormat="1" ht="12.75">
      <c r="C4" s="125">
        <f>'[2]PRZYCHODY'!C3</f>
        <v>2013</v>
      </c>
      <c r="D4" s="125">
        <f>'[2]PRZYCHODY'!D3</f>
        <v>2014</v>
      </c>
      <c r="E4" s="125">
        <f>'[2]PRZYCHODY'!E3</f>
        <v>2015</v>
      </c>
      <c r="F4" s="125">
        <f>'[2]PRZYCHODY'!F3</f>
        <v>2016</v>
      </c>
      <c r="G4" s="125">
        <f>'[2]PRZYCHODY'!G3</f>
        <v>2017</v>
      </c>
      <c r="H4" s="125">
        <f>'[2]PRZYCHODY'!H3</f>
        <v>2018</v>
      </c>
      <c r="I4" s="125">
        <f>'[2]PRZYCHODY'!I3</f>
        <v>2019</v>
      </c>
      <c r="J4" s="125">
        <f>'[2]PRZYCHODY'!J3</f>
        <v>2020</v>
      </c>
      <c r="K4" s="125">
        <f>'[2]PRZYCHODY'!K3</f>
        <v>2021</v>
      </c>
      <c r="L4" s="125">
        <f>'[2]PRZYCHODY'!L3</f>
        <v>2022</v>
      </c>
      <c r="M4" s="125">
        <f>'[2]PRZYCHODY'!M3</f>
        <v>2023</v>
      </c>
      <c r="N4" s="125">
        <f>'[2]PRZYCHODY'!N3</f>
        <v>2024</v>
      </c>
      <c r="O4" s="125">
        <f>'[2]PRZYCHODY'!O3</f>
        <v>2025</v>
      </c>
      <c r="P4" s="125">
        <f>'[2]PRZYCHODY'!P3</f>
        <v>2026</v>
      </c>
      <c r="Q4" s="125">
        <f>'[2]PRZYCHODY'!Q3</f>
        <v>2027</v>
      </c>
      <c r="R4" s="125">
        <f>'[2]PRZYCHODY'!R3</f>
        <v>2028</v>
      </c>
      <c r="S4" s="125">
        <f>'[2]PRZYCHODY'!S3</f>
        <v>2029</v>
      </c>
      <c r="T4" s="125">
        <f>'[2]PRZYCHODY'!T3</f>
        <v>2030</v>
      </c>
      <c r="U4" s="125">
        <f>'[2]PRZYCHODY'!U3</f>
        <v>2031</v>
      </c>
      <c r="V4" s="125">
        <f>'[2]PRZYCHODY'!V3</f>
        <v>2032</v>
      </c>
      <c r="W4" s="125">
        <f>'[2]PRZYCHODY'!W3</f>
        <v>2033</v>
      </c>
      <c r="X4" s="125">
        <f>'[2]PRZYCHODY'!X3</f>
        <v>2034</v>
      </c>
    </row>
    <row r="5" spans="2:36" ht="12.75">
      <c r="B5" t="s">
        <v>236</v>
      </c>
      <c r="C5" s="45">
        <f>'[1]PRZYCHODY'!C25</f>
        <v>20963.18284</v>
      </c>
      <c r="D5" s="45">
        <f>'[1]PRZYCHODY'!D25</f>
        <v>27972.430770000003</v>
      </c>
      <c r="E5" s="45">
        <f>'[1]PRZYCHODY'!E25</f>
        <v>30260</v>
      </c>
      <c r="F5" s="45">
        <f>'[1]PRZYCHODY'!F25</f>
        <v>31470</v>
      </c>
      <c r="G5" s="45">
        <f>'[1]PRZYCHODY'!G25</f>
        <v>31997</v>
      </c>
      <c r="H5" s="45">
        <f>'[1]PRZYCHODY'!H25</f>
        <v>32122</v>
      </c>
      <c r="I5" s="45">
        <f>'[1]PRZYCHODY'!I25</f>
        <v>32348</v>
      </c>
      <c r="J5" s="45">
        <f>'[1]PRZYCHODY'!J25</f>
        <v>33067</v>
      </c>
      <c r="K5" s="45">
        <f>'[1]PRZYCHODY'!K25</f>
        <v>33491</v>
      </c>
      <c r="L5" s="45">
        <f>'[1]PRZYCHODY'!L25</f>
        <v>33847</v>
      </c>
      <c r="M5" s="45">
        <f>'[1]PRZYCHODY'!M25</f>
        <v>34314</v>
      </c>
      <c r="N5" s="45">
        <f>'[1]PRZYCHODY'!N25</f>
        <v>34714</v>
      </c>
      <c r="O5" s="45">
        <f>'[1]PRZYCHODY'!O25</f>
        <v>35262</v>
      </c>
      <c r="P5" s="45">
        <f>'[1]PRZYCHODY'!P25</f>
        <v>35731</v>
      </c>
      <c r="Q5" s="45">
        <f>'[1]PRZYCHODY'!Q25</f>
        <v>36063</v>
      </c>
      <c r="R5" s="45">
        <f>'[1]PRZYCHODY'!R25</f>
        <v>36413</v>
      </c>
      <c r="S5" s="45">
        <f>'[1]PRZYCHODY'!S25</f>
        <v>36830</v>
      </c>
      <c r="T5" s="45">
        <f>'[1]PRZYCHODY'!T25</f>
        <v>37245</v>
      </c>
      <c r="U5" s="45">
        <f>'[1]PRZYCHODY'!U25</f>
        <v>37597</v>
      </c>
      <c r="V5" s="45">
        <f>'[1]PRZYCHODY'!V25</f>
        <v>38054</v>
      </c>
      <c r="W5" s="45">
        <f>'[1]PRZYCHODY'!W25</f>
        <v>38553</v>
      </c>
      <c r="X5" s="45">
        <f>'[1]PRZYCHODY'!X25</f>
        <v>38937</v>
      </c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</row>
    <row r="6" spans="2:36" ht="12.75">
      <c r="B6" t="s">
        <v>237</v>
      </c>
      <c r="C6" s="45">
        <f>'[1]KOSZTY'!C58</f>
        <v>29989.722169999997</v>
      </c>
      <c r="D6" s="45">
        <f>'[1]KOSZTY'!D58</f>
        <v>29426</v>
      </c>
      <c r="E6" s="45">
        <f>'[1]KOSZTY'!E58</f>
        <v>29886</v>
      </c>
      <c r="F6" s="45">
        <f>'[1]KOSZTY'!F58</f>
        <v>31106.979</v>
      </c>
      <c r="G6" s="45">
        <f>'[1]KOSZTY'!G58</f>
        <v>31338.405</v>
      </c>
      <c r="H6" s="45">
        <f>'[1]KOSZTY'!H58</f>
        <v>31634.8</v>
      </c>
      <c r="I6" s="45">
        <f>'[1]KOSZTY'!I58</f>
        <v>31929.425</v>
      </c>
      <c r="J6" s="45">
        <f>'[1]KOSZTY'!J58</f>
        <v>32636.735</v>
      </c>
      <c r="K6" s="45">
        <f>'[1]KOSZTY'!K58</f>
        <v>33023.985</v>
      </c>
      <c r="L6" s="45">
        <f>'[1]KOSZTY'!L58</f>
        <v>33378.265</v>
      </c>
      <c r="M6" s="45">
        <f>'[1]KOSZTY'!M58</f>
        <v>33763.335</v>
      </c>
      <c r="N6" s="45">
        <f>'[1]KOSZTY'!N58</f>
        <v>34127.5</v>
      </c>
      <c r="O6" s="45">
        <f>'[1]KOSZTY'!O58</f>
        <v>34616.86</v>
      </c>
      <c r="P6" s="45">
        <f>'[1]KOSZTY'!P58</f>
        <v>35066.13</v>
      </c>
      <c r="Q6" s="45">
        <f>'[1]KOSZTY'!Q58</f>
        <v>35434.6</v>
      </c>
      <c r="R6" s="45">
        <f>'[1]KOSZTY'!R58</f>
        <v>35789.08</v>
      </c>
      <c r="S6" s="45">
        <f>'[1]KOSZTY'!S58</f>
        <v>36135.46</v>
      </c>
      <c r="T6" s="45">
        <f>'[1]KOSZTY'!T58</f>
        <v>36482.045</v>
      </c>
      <c r="U6" s="45">
        <f>'[1]KOSZTY'!U58</f>
        <v>36850.525</v>
      </c>
      <c r="V6" s="45">
        <f>'[1]KOSZTY'!V58</f>
        <v>37240.105</v>
      </c>
      <c r="W6" s="45">
        <f>'[1]KOSZTY'!W58</f>
        <v>37693.965</v>
      </c>
      <c r="X6" s="45">
        <f>'[1]KOSZTY'!X58</f>
        <v>37948.475</v>
      </c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</row>
    <row r="34" ht="12.75">
      <c r="B34" t="s">
        <v>238</v>
      </c>
    </row>
    <row r="35" spans="3:23" ht="12.75">
      <c r="C35" s="126">
        <f>C4</f>
        <v>2013</v>
      </c>
      <c r="D35" s="126">
        <f aca="true" t="shared" si="0" ref="D35:W35">D4</f>
        <v>2014</v>
      </c>
      <c r="E35" s="126">
        <f t="shared" si="0"/>
        <v>2015</v>
      </c>
      <c r="F35" s="126">
        <f t="shared" si="0"/>
        <v>2016</v>
      </c>
      <c r="G35" s="126">
        <f t="shared" si="0"/>
        <v>2017</v>
      </c>
      <c r="H35" s="126">
        <f t="shared" si="0"/>
        <v>2018</v>
      </c>
      <c r="I35" s="126">
        <f t="shared" si="0"/>
        <v>2019</v>
      </c>
      <c r="J35" s="126">
        <f t="shared" si="0"/>
        <v>2020</v>
      </c>
      <c r="K35" s="126">
        <f t="shared" si="0"/>
        <v>2021</v>
      </c>
      <c r="L35" s="126">
        <f t="shared" si="0"/>
        <v>2022</v>
      </c>
      <c r="M35" s="126">
        <f t="shared" si="0"/>
        <v>2023</v>
      </c>
      <c r="N35" s="126">
        <f t="shared" si="0"/>
        <v>2024</v>
      </c>
      <c r="O35" s="126">
        <f t="shared" si="0"/>
        <v>2025</v>
      </c>
      <c r="P35" s="126">
        <f t="shared" si="0"/>
        <v>2026</v>
      </c>
      <c r="Q35" s="126">
        <f t="shared" si="0"/>
        <v>2027</v>
      </c>
      <c r="R35" s="126">
        <f t="shared" si="0"/>
        <v>2028</v>
      </c>
      <c r="S35" s="126">
        <f t="shared" si="0"/>
        <v>2029</v>
      </c>
      <c r="T35" s="126">
        <f t="shared" si="0"/>
        <v>2030</v>
      </c>
      <c r="U35" s="126">
        <f t="shared" si="0"/>
        <v>2031</v>
      </c>
      <c r="V35" s="126">
        <f t="shared" si="0"/>
        <v>2032</v>
      </c>
      <c r="W35" s="126">
        <f t="shared" si="0"/>
        <v>2033</v>
      </c>
    </row>
    <row r="36" spans="2:23" ht="12.75">
      <c r="B36" t="s">
        <v>239</v>
      </c>
      <c r="C36" s="127" t="e">
        <f>#N/A</f>
        <v>#VALUE!</v>
      </c>
      <c r="D36" s="127" t="e">
        <f>#N/A</f>
        <v>#VALUE!</v>
      </c>
      <c r="E36" s="127" t="e">
        <f>#N/A</f>
        <v>#VALUE!</v>
      </c>
      <c r="F36" s="127" t="e">
        <f>#N/A</f>
        <v>#VALUE!</v>
      </c>
      <c r="G36" s="127" t="e">
        <f>#N/A</f>
        <v>#VALUE!</v>
      </c>
      <c r="H36" s="127" t="e">
        <f>#N/A</f>
        <v>#VALUE!</v>
      </c>
      <c r="I36" s="127" t="e">
        <f>#N/A</f>
        <v>#VALUE!</v>
      </c>
      <c r="J36" s="127" t="e">
        <f>#N/A</f>
        <v>#VALUE!</v>
      </c>
      <c r="K36" s="127" t="e">
        <f>#N/A</f>
        <v>#VALUE!</v>
      </c>
      <c r="L36" s="127" t="e">
        <f>#N/A</f>
        <v>#VALUE!</v>
      </c>
      <c r="M36" s="127" t="e">
        <f>#N/A</f>
        <v>#VALUE!</v>
      </c>
      <c r="N36" s="127" t="e">
        <f>#N/A</f>
        <v>#VALUE!</v>
      </c>
      <c r="O36" s="127" t="e">
        <f>#N/A</f>
        <v>#VALUE!</v>
      </c>
      <c r="P36" s="127" t="e">
        <f>#N/A</f>
        <v>#VALUE!</v>
      </c>
      <c r="Q36" s="127" t="e">
        <f>#N/A</f>
        <v>#VALUE!</v>
      </c>
      <c r="R36" s="127" t="e">
        <f>#N/A</f>
        <v>#VALUE!</v>
      </c>
      <c r="S36" s="127" t="e">
        <f>#N/A</f>
        <v>#VALUE!</v>
      </c>
      <c r="T36" s="127" t="e">
        <f>#N/A</f>
        <v>#VALUE!</v>
      </c>
      <c r="U36" s="127" t="e">
        <f>#N/A</f>
        <v>#VALUE!</v>
      </c>
      <c r="V36" s="127" t="e">
        <f>#N/A</f>
        <v>#VALUE!</v>
      </c>
      <c r="W36" s="127" t="e">
        <f>#N/A</f>
        <v>#VALUE!</v>
      </c>
    </row>
    <row r="37" spans="2:23" ht="12.75">
      <c r="B37" t="s">
        <v>240</v>
      </c>
      <c r="C37" s="127" t="e">
        <f>#N/A</f>
        <v>#VALUE!</v>
      </c>
      <c r="D37" s="127" t="e">
        <f>#N/A</f>
        <v>#VALUE!</v>
      </c>
      <c r="E37" s="127" t="e">
        <f>#N/A</f>
        <v>#VALUE!</v>
      </c>
      <c r="F37" s="127" t="e">
        <f>#N/A</f>
        <v>#VALUE!</v>
      </c>
      <c r="G37" s="127" t="e">
        <f>#N/A</f>
        <v>#VALUE!</v>
      </c>
      <c r="H37" s="127" t="e">
        <f>#N/A</f>
        <v>#VALUE!</v>
      </c>
      <c r="I37" s="127" t="e">
        <f>#N/A</f>
        <v>#VALUE!</v>
      </c>
      <c r="J37" s="127" t="e">
        <f>#N/A</f>
        <v>#VALUE!</v>
      </c>
      <c r="K37" s="127" t="e">
        <f>#N/A</f>
        <v>#VALUE!</v>
      </c>
      <c r="L37" s="127" t="e">
        <f>#N/A</f>
        <v>#VALUE!</v>
      </c>
      <c r="M37" s="127" t="e">
        <f>#N/A</f>
        <v>#VALUE!</v>
      </c>
      <c r="N37" s="127" t="e">
        <f>#N/A</f>
        <v>#VALUE!</v>
      </c>
      <c r="O37" s="127" t="e">
        <f>#N/A</f>
        <v>#VALUE!</v>
      </c>
      <c r="P37" s="127" t="e">
        <f>#N/A</f>
        <v>#VALUE!</v>
      </c>
      <c r="Q37" s="127" t="e">
        <f>#N/A</f>
        <v>#VALUE!</v>
      </c>
      <c r="R37" s="127" t="e">
        <f>#N/A</f>
        <v>#VALUE!</v>
      </c>
      <c r="S37" s="127" t="e">
        <f>#N/A</f>
        <v>#VALUE!</v>
      </c>
      <c r="T37" s="127" t="e">
        <f>#N/A</f>
        <v>#VALUE!</v>
      </c>
      <c r="U37" s="127" t="e">
        <f>#N/A</f>
        <v>#VALUE!</v>
      </c>
      <c r="V37" s="127" t="e">
        <f>#N/A</f>
        <v>#VALUE!</v>
      </c>
      <c r="W37" s="127" t="e">
        <f>#N/A</f>
        <v>#VALUE!</v>
      </c>
    </row>
    <row r="38" spans="2:23" ht="12.75">
      <c r="B38" t="s">
        <v>241</v>
      </c>
      <c r="C38" s="127" t="e">
        <f>#N/A</f>
        <v>#VALUE!</v>
      </c>
      <c r="D38" s="127" t="e">
        <f>#N/A</f>
        <v>#VALUE!</v>
      </c>
      <c r="E38" s="127" t="e">
        <f>#N/A</f>
        <v>#VALUE!</v>
      </c>
      <c r="F38" s="127" t="e">
        <f>#N/A</f>
        <v>#VALUE!</v>
      </c>
      <c r="G38" s="127" t="e">
        <f>#N/A</f>
        <v>#VALUE!</v>
      </c>
      <c r="H38" s="127" t="e">
        <f>#N/A</f>
        <v>#VALUE!</v>
      </c>
      <c r="I38" s="127" t="e">
        <f>#N/A</f>
        <v>#VALUE!</v>
      </c>
      <c r="J38" s="127" t="e">
        <f>#N/A</f>
        <v>#VALUE!</v>
      </c>
      <c r="K38" s="127" t="e">
        <f>#N/A</f>
        <v>#VALUE!</v>
      </c>
      <c r="L38" s="127" t="e">
        <f>#N/A</f>
        <v>#VALUE!</v>
      </c>
      <c r="M38" s="127" t="e">
        <f>#N/A</f>
        <v>#VALUE!</v>
      </c>
      <c r="N38" s="127" t="e">
        <f>#N/A</f>
        <v>#VALUE!</v>
      </c>
      <c r="O38" s="127" t="e">
        <f>#N/A</f>
        <v>#VALUE!</v>
      </c>
      <c r="P38" s="127" t="e">
        <f>#N/A</f>
        <v>#VALUE!</v>
      </c>
      <c r="Q38" s="127" t="e">
        <f>#N/A</f>
        <v>#VALUE!</v>
      </c>
      <c r="R38" s="127" t="e">
        <f>#N/A</f>
        <v>#VALUE!</v>
      </c>
      <c r="S38" s="127" t="e">
        <f>#N/A</f>
        <v>#VALUE!</v>
      </c>
      <c r="T38" s="127" t="e">
        <f>#N/A</f>
        <v>#VALUE!</v>
      </c>
      <c r="U38" s="127" t="e">
        <f>#N/A</f>
        <v>#VALUE!</v>
      </c>
      <c r="V38" s="127" t="e">
        <f>#N/A</f>
        <v>#VALUE!</v>
      </c>
      <c r="W38" s="127" t="e">
        <f>#N/A</f>
        <v>#VALUE!</v>
      </c>
    </row>
    <row r="60" ht="12.75">
      <c r="T60" t="s">
        <v>242</v>
      </c>
    </row>
    <row r="70" ht="12.75">
      <c r="B70" t="s">
        <v>243</v>
      </c>
    </row>
    <row r="71" spans="3:23" ht="12.75">
      <c r="C71" s="126">
        <f>C35</f>
        <v>2013</v>
      </c>
      <c r="D71" s="126">
        <f aca="true" t="shared" si="1" ref="D71:W71">D35</f>
        <v>2014</v>
      </c>
      <c r="E71" s="126">
        <f t="shared" si="1"/>
        <v>2015</v>
      </c>
      <c r="F71" s="126">
        <f t="shared" si="1"/>
        <v>2016</v>
      </c>
      <c r="G71" s="126">
        <f t="shared" si="1"/>
        <v>2017</v>
      </c>
      <c r="H71" s="126">
        <f t="shared" si="1"/>
        <v>2018</v>
      </c>
      <c r="I71" s="126">
        <f t="shared" si="1"/>
        <v>2019</v>
      </c>
      <c r="J71" s="126">
        <f t="shared" si="1"/>
        <v>2020</v>
      </c>
      <c r="K71" s="126">
        <f t="shared" si="1"/>
        <v>2021</v>
      </c>
      <c r="L71" s="126">
        <f t="shared" si="1"/>
        <v>2022</v>
      </c>
      <c r="M71" s="126">
        <f t="shared" si="1"/>
        <v>2023</v>
      </c>
      <c r="N71" s="126">
        <f t="shared" si="1"/>
        <v>2024</v>
      </c>
      <c r="O71" s="126">
        <f t="shared" si="1"/>
        <v>2025</v>
      </c>
      <c r="P71" s="126">
        <f t="shared" si="1"/>
        <v>2026</v>
      </c>
      <c r="Q71" s="126">
        <f>Q35</f>
        <v>2027</v>
      </c>
      <c r="R71" s="126">
        <f t="shared" si="1"/>
        <v>2028</v>
      </c>
      <c r="S71" s="126">
        <f t="shared" si="1"/>
        <v>2029</v>
      </c>
      <c r="T71" s="126">
        <f>T35</f>
        <v>2030</v>
      </c>
      <c r="U71" s="126">
        <f t="shared" si="1"/>
        <v>2031</v>
      </c>
      <c r="V71" s="126">
        <f t="shared" si="1"/>
        <v>2032</v>
      </c>
      <c r="W71" s="126">
        <f t="shared" si="1"/>
        <v>2033</v>
      </c>
    </row>
    <row r="72" spans="3:23" ht="12.75">
      <c r="C72" s="128" t="e">
        <f>#N/A</f>
        <v>#VALUE!</v>
      </c>
      <c r="D72" s="128" t="e">
        <f>#N/A</f>
        <v>#VALUE!</v>
      </c>
      <c r="E72" s="128" t="e">
        <f>#N/A</f>
        <v>#VALUE!</v>
      </c>
      <c r="F72" s="128" t="e">
        <f>#N/A</f>
        <v>#VALUE!</v>
      </c>
      <c r="G72" s="128" t="e">
        <f>#N/A</f>
        <v>#VALUE!</v>
      </c>
      <c r="H72" s="128" t="e">
        <f>#N/A</f>
        <v>#VALUE!</v>
      </c>
      <c r="I72" s="128" t="e">
        <f>#N/A</f>
        <v>#VALUE!</v>
      </c>
      <c r="J72" s="128" t="e">
        <f>#N/A</f>
        <v>#VALUE!</v>
      </c>
      <c r="K72" s="128" t="e">
        <f>#N/A</f>
        <v>#VALUE!</v>
      </c>
      <c r="L72" s="128" t="e">
        <f>#N/A</f>
        <v>#VALUE!</v>
      </c>
      <c r="M72" s="128" t="e">
        <f>#N/A</f>
        <v>#VALUE!</v>
      </c>
      <c r="N72" s="128" t="e">
        <f>#N/A</f>
        <v>#VALUE!</v>
      </c>
      <c r="O72" s="128" t="e">
        <f>#N/A</f>
        <v>#VALUE!</v>
      </c>
      <c r="P72" s="128" t="e">
        <f>#N/A</f>
        <v>#VALUE!</v>
      </c>
      <c r="Q72" s="128" t="e">
        <f>#N/A</f>
        <v>#VALUE!</v>
      </c>
      <c r="R72" s="128" t="e">
        <f>#N/A</f>
        <v>#VALUE!</v>
      </c>
      <c r="S72" s="128" t="e">
        <f>#N/A</f>
        <v>#VALUE!</v>
      </c>
      <c r="T72" s="128" t="e">
        <f>#N/A</f>
        <v>#VALUE!</v>
      </c>
      <c r="U72" s="128" t="e">
        <f>#N/A</f>
        <v>#VALUE!</v>
      </c>
      <c r="V72" s="128" t="e">
        <f>#N/A</f>
        <v>#VALUE!</v>
      </c>
      <c r="W72" s="128" t="e">
        <f>#N/A</f>
        <v>#VALUE!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2014-08-13T05:41:51Z</dcterms:modified>
  <cp:category/>
  <cp:version/>
  <cp:contentType/>
  <cp:contentStatus/>
  <cp:revision>25</cp:revision>
</cp:coreProperties>
</file>